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ctrlProps/ctrlProp3.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R:\"/>
    </mc:Choice>
  </mc:AlternateContent>
  <xr:revisionPtr revIDLastSave="0" documentId="8_{E4E0413D-2B99-4575-8715-5546DD1A9DA4}" xr6:coauthVersionLast="47" xr6:coauthVersionMax="47" xr10:uidLastSave="{00000000-0000-0000-0000-000000000000}"/>
  <workbookProtection workbookAlgorithmName="SHA-512" workbookHashValue="auJpPiFdsWIyURNeUcQvQoIJTvAmFqbN5CQBt5DRnMusCJ98AyFpKxcndmn++A/eAQZsXxFRCO8IoeIBEhPu8A==" workbookSaltValue="yThAUX0Pwae9hAiPIAoXOQ==" workbookSpinCount="100000" lockStructure="1"/>
  <bookViews>
    <workbookView xWindow="-120" yWindow="-120" windowWidth="51840" windowHeight="21240" tabRatio="848" xr2:uid="{FEB83FE9-37A0-456F-83DE-888987527C12}"/>
  </bookViews>
  <sheets>
    <sheet name="Toelichting Investeringsdeel" sheetId="9" r:id="rId1"/>
    <sheet name="Proj.gegevens_invest.begroting" sheetId="10" r:id="rId2"/>
    <sheet name="Mijlpalenbegroting" sheetId="11" r:id="rId3"/>
    <sheet name="Toelichting Exploitatiedeel" sheetId="1" r:id="rId4"/>
    <sheet name="Financieringsplan" sheetId="2" r:id="rId5"/>
    <sheet name="Productie_en_afzet" sheetId="3" r:id="rId6"/>
    <sheet name="Exploitatieberekening" sheetId="4" r:id="rId7"/>
    <sheet name="Overzicht bijlagen" sheetId="5" r:id="rId8"/>
    <sheet name="Hulpblad_categorieën_parameters" sheetId="6" state="hidden" r:id="rId9"/>
    <sheet name="Hulpblad_overig" sheetId="7" state="hidden" r:id="rId10"/>
    <sheet name="Alternat.rendementsberekening" sheetId="8" state="hidden" r:id="rId11"/>
  </sheets>
  <externalReferences>
    <externalReference r:id="rId12"/>
  </externalReferences>
  <definedNames>
    <definedName name="_xlnm.Print_Area" localSheetId="4">Financieringsplan!$A$1:$H$101</definedName>
    <definedName name="_xlnm.Print_Area" localSheetId="2">Mijlpalenbegroting!$B$1:$O$44</definedName>
    <definedName name="_xlnm.Print_Area" localSheetId="7">'Overzicht bijlagen'!$A$1:$A$81</definedName>
    <definedName name="_xlnm.Print_Area" localSheetId="5">Productie_en_afzet!$A$1:$E$35</definedName>
    <definedName name="_xlnm.Print_Area" localSheetId="1">'Proj.gegevens_invest.begroting'!$B$4:$G$185</definedName>
    <definedName name="_xlnm.Print_Area" localSheetId="0">'Toelichting Investeringsdeel'!$A$1:$Q$43</definedName>
    <definedName name="deelnemers">#REF!</definedName>
    <definedName name="Einddatum">#REF!</definedName>
    <definedName name="Foundations">#REF!</definedName>
    <definedName name="Naamregeling">#REF!</definedName>
    <definedName name="Organisatietype">#REF!</definedName>
    <definedName name="Soort_bedrijf">'Proj.gegevens_invest.begroting'!$J$10:$J$44</definedName>
    <definedName name="Startdatum">#REF!</definedName>
    <definedName name="Type_onderneming">[1]Investeringsbegroting!$J$3:$J$5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2" l="1"/>
  <c r="G40" i="2" l="1"/>
  <c r="H40" i="2" s="1"/>
  <c r="A12" i="5" s="1"/>
  <c r="N23" i="4"/>
  <c r="B7" i="10"/>
  <c r="A52" i="2"/>
  <c r="A51" i="2"/>
  <c r="A49" i="2"/>
  <c r="A47" i="2"/>
  <c r="A46" i="2"/>
  <c r="A45" i="2"/>
  <c r="O73" i="4" l="1"/>
  <c r="P73" i="4"/>
  <c r="Q73" i="4"/>
  <c r="R73" i="4"/>
  <c r="S73" i="4"/>
  <c r="T73" i="4"/>
  <c r="U73" i="4"/>
  <c r="V73" i="4"/>
  <c r="W73" i="4"/>
  <c r="X73" i="4"/>
  <c r="Y73" i="4"/>
  <c r="Z73" i="4"/>
  <c r="AA73" i="4"/>
  <c r="AB73" i="4"/>
  <c r="AC73" i="4"/>
  <c r="P74" i="4"/>
  <c r="Q74" i="4"/>
  <c r="R74" i="4"/>
  <c r="S74" i="4"/>
  <c r="O74" i="4"/>
  <c r="I45" i="10"/>
  <c r="D42" i="10"/>
  <c r="I42" i="10" s="1"/>
  <c r="D43" i="10" l="1"/>
  <c r="D41" i="10"/>
  <c r="D17" i="11" l="1"/>
  <c r="E17" i="11"/>
  <c r="F17" i="11"/>
  <c r="G17" i="11"/>
  <c r="H17" i="11"/>
  <c r="I17" i="11"/>
  <c r="J17" i="11"/>
  <c r="K17" i="11"/>
  <c r="L17" i="11"/>
  <c r="O89" i="4" l="1"/>
  <c r="P89" i="4" s="1"/>
  <c r="Q89" i="4" s="1"/>
  <c r="R89" i="4" s="1"/>
  <c r="S89" i="4" s="1"/>
  <c r="T89" i="4" s="1"/>
  <c r="U89" i="4" s="1"/>
  <c r="V89" i="4" s="1"/>
  <c r="W89" i="4" s="1"/>
  <c r="X89" i="4" s="1"/>
  <c r="Y89" i="4" s="1"/>
  <c r="Z89" i="4" s="1"/>
  <c r="AA89" i="4" s="1"/>
  <c r="AB89" i="4" s="1"/>
  <c r="AC89" i="4" s="1"/>
  <c r="O78" i="4"/>
  <c r="P78" i="4"/>
  <c r="Q78" i="4"/>
  <c r="R78" i="4"/>
  <c r="S78" i="4"/>
  <c r="T78" i="4" s="1"/>
  <c r="U78" i="4" s="1"/>
  <c r="V78" i="4" s="1"/>
  <c r="W78" i="4" s="1"/>
  <c r="X78" i="4" s="1"/>
  <c r="Y78" i="4" s="1"/>
  <c r="Z78" i="4" s="1"/>
  <c r="AA78" i="4" s="1"/>
  <c r="AB78" i="4" s="1"/>
  <c r="AC78" i="4" s="1"/>
  <c r="O79" i="4"/>
  <c r="P79" i="4"/>
  <c r="Q79" i="4"/>
  <c r="R79" i="4"/>
  <c r="S79" i="4"/>
  <c r="T79" i="4" s="1"/>
  <c r="U79" i="4" s="1"/>
  <c r="V79" i="4" s="1"/>
  <c r="W79" i="4" s="1"/>
  <c r="X79" i="4" s="1"/>
  <c r="Y79" i="4" s="1"/>
  <c r="Z79" i="4" s="1"/>
  <c r="AA79" i="4" s="1"/>
  <c r="AB79" i="4" s="1"/>
  <c r="AC79" i="4" s="1"/>
  <c r="O80" i="4"/>
  <c r="P80" i="4"/>
  <c r="Q80" i="4"/>
  <c r="R80" i="4"/>
  <c r="S80" i="4"/>
  <c r="T80" i="4" s="1"/>
  <c r="U80" i="4" s="1"/>
  <c r="V80" i="4" s="1"/>
  <c r="W80" i="4" s="1"/>
  <c r="X80" i="4" s="1"/>
  <c r="Y80" i="4" s="1"/>
  <c r="Z80" i="4" s="1"/>
  <c r="AA80" i="4" s="1"/>
  <c r="AB80" i="4" s="1"/>
  <c r="AC80" i="4" s="1"/>
  <c r="O81" i="4"/>
  <c r="P81" i="4"/>
  <c r="Q81" i="4"/>
  <c r="R81" i="4"/>
  <c r="S81" i="4"/>
  <c r="T81" i="4" s="1"/>
  <c r="U81" i="4" s="1"/>
  <c r="V81" i="4" s="1"/>
  <c r="W81" i="4" s="1"/>
  <c r="X81" i="4" s="1"/>
  <c r="Y81" i="4" s="1"/>
  <c r="Z81" i="4" s="1"/>
  <c r="AA81" i="4" s="1"/>
  <c r="AB81" i="4" s="1"/>
  <c r="AC81" i="4" s="1"/>
  <c r="O82" i="4"/>
  <c r="P82" i="4"/>
  <c r="Q82" i="4"/>
  <c r="R82" i="4"/>
  <c r="S82" i="4"/>
  <c r="T82" i="4" s="1"/>
  <c r="U82" i="4" s="1"/>
  <c r="V82" i="4" s="1"/>
  <c r="W82" i="4" s="1"/>
  <c r="X82" i="4" s="1"/>
  <c r="Y82" i="4" s="1"/>
  <c r="Z82" i="4" s="1"/>
  <c r="AA82" i="4" s="1"/>
  <c r="AB82" i="4" s="1"/>
  <c r="AC82" i="4" s="1"/>
  <c r="O83" i="4"/>
  <c r="P83" i="4"/>
  <c r="Q83" i="4"/>
  <c r="R83" i="4"/>
  <c r="S83" i="4"/>
  <c r="T83" i="4" s="1"/>
  <c r="U83" i="4" s="1"/>
  <c r="V83" i="4" s="1"/>
  <c r="W83" i="4" s="1"/>
  <c r="X83" i="4" s="1"/>
  <c r="Y83" i="4" s="1"/>
  <c r="Z83" i="4" s="1"/>
  <c r="AA83" i="4" s="1"/>
  <c r="AB83" i="4" s="1"/>
  <c r="AC83" i="4" s="1"/>
  <c r="O84" i="4"/>
  <c r="P84" i="4"/>
  <c r="Q84" i="4"/>
  <c r="R84" i="4"/>
  <c r="S84" i="4"/>
  <c r="T84" i="4" s="1"/>
  <c r="U84" i="4" s="1"/>
  <c r="V84" i="4" s="1"/>
  <c r="W84" i="4" s="1"/>
  <c r="X84" i="4" s="1"/>
  <c r="Y84" i="4" s="1"/>
  <c r="Z84" i="4" s="1"/>
  <c r="AA84" i="4" s="1"/>
  <c r="AB84" i="4" s="1"/>
  <c r="AC84" i="4" s="1"/>
  <c r="O85" i="4"/>
  <c r="P85" i="4"/>
  <c r="Q85" i="4"/>
  <c r="R85" i="4"/>
  <c r="S85" i="4"/>
  <c r="T85" i="4" s="1"/>
  <c r="U85" i="4" s="1"/>
  <c r="V85" i="4" s="1"/>
  <c r="W85" i="4" s="1"/>
  <c r="X85" i="4" s="1"/>
  <c r="Y85" i="4" s="1"/>
  <c r="Z85" i="4" s="1"/>
  <c r="AA85" i="4" s="1"/>
  <c r="AB85" i="4" s="1"/>
  <c r="AC85" i="4" s="1"/>
  <c r="O86" i="4"/>
  <c r="P86" i="4"/>
  <c r="Q86" i="4"/>
  <c r="R86" i="4"/>
  <c r="S86" i="4"/>
  <c r="T86" i="4" s="1"/>
  <c r="U86" i="4" s="1"/>
  <c r="V86" i="4" s="1"/>
  <c r="W86" i="4" s="1"/>
  <c r="X86" i="4" s="1"/>
  <c r="Y86" i="4" s="1"/>
  <c r="Z86" i="4" s="1"/>
  <c r="AA86" i="4" s="1"/>
  <c r="AB86" i="4" s="1"/>
  <c r="AC86" i="4" s="1"/>
  <c r="O87" i="4"/>
  <c r="P87" i="4"/>
  <c r="Q87" i="4"/>
  <c r="R87" i="4"/>
  <c r="S87" i="4"/>
  <c r="T87" i="4" s="1"/>
  <c r="U87" i="4" s="1"/>
  <c r="V87" i="4" s="1"/>
  <c r="W87" i="4" s="1"/>
  <c r="X87" i="4" s="1"/>
  <c r="Y87" i="4" s="1"/>
  <c r="Z87" i="4" s="1"/>
  <c r="AA87" i="4" s="1"/>
  <c r="AB87" i="4" s="1"/>
  <c r="AC87" i="4" s="1"/>
  <c r="O88" i="4"/>
  <c r="P88" i="4"/>
  <c r="Q88" i="4"/>
  <c r="R88" i="4"/>
  <c r="S88" i="4"/>
  <c r="T88" i="4" s="1"/>
  <c r="U88" i="4" s="1"/>
  <c r="V88" i="4" s="1"/>
  <c r="W88" i="4" s="1"/>
  <c r="X88" i="4" s="1"/>
  <c r="Y88" i="4" s="1"/>
  <c r="Z88" i="4" s="1"/>
  <c r="AA88" i="4" s="1"/>
  <c r="AB88" i="4" s="1"/>
  <c r="AC88" i="4" s="1"/>
  <c r="O77" i="4"/>
  <c r="P77" i="4" s="1"/>
  <c r="Q77" i="4" s="1"/>
  <c r="R77" i="4" s="1"/>
  <c r="S77" i="4" s="1"/>
  <c r="T77" i="4" s="1"/>
  <c r="U77" i="4" s="1"/>
  <c r="V77" i="4" s="1"/>
  <c r="W77" i="4" s="1"/>
  <c r="X77" i="4" s="1"/>
  <c r="Y77" i="4" s="1"/>
  <c r="Z77" i="4" s="1"/>
  <c r="AA77" i="4" s="1"/>
  <c r="AB77" i="4" s="1"/>
  <c r="AC77" i="4" s="1"/>
  <c r="O76" i="4"/>
  <c r="P63" i="4"/>
  <c r="Q63" i="4" s="1"/>
  <c r="R63" i="4" s="1"/>
  <c r="S63" i="4" s="1"/>
  <c r="T63" i="4" s="1"/>
  <c r="U63" i="4" s="1"/>
  <c r="P62" i="4"/>
  <c r="Q62" i="4"/>
  <c r="R62" i="4"/>
  <c r="S62" i="4"/>
  <c r="T62" i="4"/>
  <c r="U62" i="4"/>
  <c r="V62" i="4"/>
  <c r="W62" i="4" s="1"/>
  <c r="X62" i="4" s="1"/>
  <c r="Y62" i="4" s="1"/>
  <c r="Z62" i="4" s="1"/>
  <c r="AA62" i="4" s="1"/>
  <c r="AB62" i="4" s="1"/>
  <c r="AC62" i="4" s="1"/>
  <c r="P61" i="4"/>
  <c r="Q61" i="4" s="1"/>
  <c r="R61" i="4" s="1"/>
  <c r="P60" i="4"/>
  <c r="Q60" i="4" s="1"/>
  <c r="R60" i="4" s="1"/>
  <c r="S60" i="4" s="1"/>
  <c r="T60" i="4" s="1"/>
  <c r="U60" i="4" s="1"/>
  <c r="V60" i="4" s="1"/>
  <c r="W60" i="4" s="1"/>
  <c r="X60" i="4" s="1"/>
  <c r="Y60" i="4" s="1"/>
  <c r="Z60" i="4" s="1"/>
  <c r="AA60" i="4" s="1"/>
  <c r="AB60" i="4" s="1"/>
  <c r="AC60" i="4" s="1"/>
  <c r="P76" i="4" l="1"/>
  <c r="O90" i="4"/>
  <c r="G144" i="10"/>
  <c r="S61" i="4"/>
  <c r="T61" i="4" s="1"/>
  <c r="U61" i="4" s="1"/>
  <c r="V61" i="4" s="1"/>
  <c r="W61" i="4" s="1"/>
  <c r="X61" i="4" s="1"/>
  <c r="Y61" i="4" s="1"/>
  <c r="Z61" i="4" s="1"/>
  <c r="AA61" i="4" s="1"/>
  <c r="AB61" i="4" s="1"/>
  <c r="AC61" i="4" s="1"/>
  <c r="V63" i="4"/>
  <c r="W63" i="4" s="1"/>
  <c r="X63" i="4" s="1"/>
  <c r="Y63" i="4" s="1"/>
  <c r="Z63" i="4" s="1"/>
  <c r="AA63" i="4" s="1"/>
  <c r="AB63" i="4" s="1"/>
  <c r="AC63" i="4" s="1"/>
  <c r="G157" i="10"/>
  <c r="A13" i="2"/>
  <c r="H18" i="11"/>
  <c r="I18" i="11"/>
  <c r="J18" i="11"/>
  <c r="K18" i="11"/>
  <c r="L18" i="11"/>
  <c r="C18" i="11"/>
  <c r="I41" i="10"/>
  <c r="Q76" i="4" l="1"/>
  <c r="P90" i="4"/>
  <c r="A56" i="2"/>
  <c r="A54" i="2"/>
  <c r="N22" i="4"/>
  <c r="C7" i="6"/>
  <c r="C2" i="11"/>
  <c r="E42" i="4"/>
  <c r="E40" i="4"/>
  <c r="C19" i="3"/>
  <c r="C17" i="3"/>
  <c r="D35" i="10"/>
  <c r="C20" i="3" s="1"/>
  <c r="D30" i="10"/>
  <c r="R76" i="4" l="1"/>
  <c r="Q90" i="4"/>
  <c r="E44" i="4"/>
  <c r="C18" i="3"/>
  <c r="I39" i="10"/>
  <c r="B11" i="4"/>
  <c r="D25" i="10"/>
  <c r="B16" i="3" s="1"/>
  <c r="B15" i="3"/>
  <c r="B7" i="2"/>
  <c r="S76" i="4" l="1"/>
  <c r="R90" i="4"/>
  <c r="A3" i="4"/>
  <c r="AC74" i="4"/>
  <c r="AB74" i="4"/>
  <c r="AA74" i="4"/>
  <c r="Z74" i="4"/>
  <c r="Y74" i="4"/>
  <c r="X74" i="4"/>
  <c r="W74" i="4"/>
  <c r="V74" i="4"/>
  <c r="U74" i="4"/>
  <c r="T74" i="4"/>
  <c r="T64" i="4"/>
  <c r="U64" i="4"/>
  <c r="U35" i="4"/>
  <c r="T35" i="4"/>
  <c r="E33" i="4"/>
  <c r="A33" i="4"/>
  <c r="AC64" i="4"/>
  <c r="AB64" i="4"/>
  <c r="AA64" i="4"/>
  <c r="Z64" i="4"/>
  <c r="Y64" i="4"/>
  <c r="X64" i="4"/>
  <c r="W64" i="4"/>
  <c r="V64" i="4"/>
  <c r="AC35" i="4"/>
  <c r="AC109" i="4" s="1"/>
  <c r="AB35" i="4"/>
  <c r="AB109" i="4" s="1"/>
  <c r="AA35" i="4"/>
  <c r="AA109" i="4" s="1"/>
  <c r="Z35" i="4"/>
  <c r="Z109" i="4" s="1"/>
  <c r="Y35" i="4"/>
  <c r="Y109" i="4" s="1"/>
  <c r="X35" i="4"/>
  <c r="X109" i="4" s="1"/>
  <c r="W35" i="4"/>
  <c r="V35" i="4"/>
  <c r="B93" i="4"/>
  <c r="T76" i="4" l="1"/>
  <c r="S90" i="4"/>
  <c r="B10" i="4"/>
  <c r="E52" i="4"/>
  <c r="AC42" i="4" l="1"/>
  <c r="AB42" i="4"/>
  <c r="AA42" i="4"/>
  <c r="Z42" i="4"/>
  <c r="Y42" i="4"/>
  <c r="X42" i="4"/>
  <c r="W42" i="4"/>
  <c r="V42" i="4"/>
  <c r="U42" i="4"/>
  <c r="T42" i="4"/>
  <c r="AC41" i="4"/>
  <c r="AB41" i="4"/>
  <c r="AA41" i="4"/>
  <c r="Z41" i="4"/>
  <c r="Y41" i="4"/>
  <c r="U76" i="4"/>
  <c r="T90" i="4"/>
  <c r="T44" i="4"/>
  <c r="U44" i="4"/>
  <c r="T40" i="4"/>
  <c r="U40" i="4"/>
  <c r="AC44" i="4"/>
  <c r="AB44" i="4"/>
  <c r="AA44" i="4"/>
  <c r="Z44" i="4"/>
  <c r="Y44" i="4"/>
  <c r="X44" i="4"/>
  <c r="W44" i="4"/>
  <c r="AC40" i="4"/>
  <c r="AB40" i="4"/>
  <c r="AA40" i="4"/>
  <c r="Z40" i="4"/>
  <c r="Y40" i="4"/>
  <c r="X40" i="4"/>
  <c r="W40" i="4"/>
  <c r="V44" i="4"/>
  <c r="V40" i="4"/>
  <c r="V76" i="4" l="1"/>
  <c r="U90" i="4"/>
  <c r="G78" i="2"/>
  <c r="B71" i="7"/>
  <c r="B72" i="7"/>
  <c r="B73" i="7"/>
  <c r="B4" i="3"/>
  <c r="B6" i="3"/>
  <c r="B30" i="2"/>
  <c r="B20" i="4"/>
  <c r="B19" i="4"/>
  <c r="B18" i="4"/>
  <c r="B17" i="4"/>
  <c r="B16" i="4"/>
  <c r="B15" i="4"/>
  <c r="D18" i="11"/>
  <c r="O64" i="4"/>
  <c r="E41" i="4"/>
  <c r="O41" i="4" s="1"/>
  <c r="P41" i="4" s="1"/>
  <c r="Q41" i="4" s="1"/>
  <c r="R41" i="4" s="1"/>
  <c r="S41" i="4" s="1"/>
  <c r="T41" i="4" s="1"/>
  <c r="U41" i="4" s="1"/>
  <c r="V41" i="4" s="1"/>
  <c r="W41" i="4" s="1"/>
  <c r="X41" i="4" s="1"/>
  <c r="B9" i="4"/>
  <c r="B13" i="3"/>
  <c r="B21" i="3" s="1"/>
  <c r="W76" i="4" l="1"/>
  <c r="V90" i="4"/>
  <c r="B7" i="4"/>
  <c r="A5" i="5"/>
  <c r="N90" i="4"/>
  <c r="E39" i="4"/>
  <c r="B29" i="3"/>
  <c r="E49" i="4" s="1"/>
  <c r="X76" i="4" l="1"/>
  <c r="W90" i="4"/>
  <c r="B12" i="3"/>
  <c r="B11" i="3"/>
  <c r="Y76" i="4" l="1"/>
  <c r="X90" i="4"/>
  <c r="D16" i="10"/>
  <c r="D20" i="10"/>
  <c r="Z76" i="4" l="1"/>
  <c r="Y90" i="4"/>
  <c r="D26" i="10"/>
  <c r="B25" i="3" s="1"/>
  <c r="E43" i="4"/>
  <c r="O43" i="4" s="1"/>
  <c r="P43" i="4" s="1"/>
  <c r="Q43" i="4" s="1"/>
  <c r="R43" i="4" s="1"/>
  <c r="S43" i="4" s="1"/>
  <c r="D36" i="10"/>
  <c r="C27" i="3" s="1"/>
  <c r="D31" i="10"/>
  <c r="C26" i="3" s="1"/>
  <c r="B14" i="3"/>
  <c r="D21" i="10"/>
  <c r="B24" i="3"/>
  <c r="AA76" i="4" l="1"/>
  <c r="Z90" i="4"/>
  <c r="T43" i="4"/>
  <c r="U43" i="4" s="1"/>
  <c r="V43" i="4" s="1"/>
  <c r="W43" i="4" s="1"/>
  <c r="X43" i="4" s="1"/>
  <c r="Y43" i="4" s="1"/>
  <c r="Z43" i="4" s="1"/>
  <c r="AA43" i="4" s="1"/>
  <c r="AB43" i="4" s="1"/>
  <c r="AC43" i="4" s="1"/>
  <c r="B22" i="3"/>
  <c r="G39" i="2"/>
  <c r="G18" i="11"/>
  <c r="F18" i="11"/>
  <c r="E18" i="11"/>
  <c r="AB76" i="4" l="1"/>
  <c r="AA90" i="4"/>
  <c r="G63" i="10"/>
  <c r="G84" i="10"/>
  <c r="N16" i="4" s="1"/>
  <c r="M16" i="11"/>
  <c r="G158" i="10"/>
  <c r="G138" i="10"/>
  <c r="G128" i="10"/>
  <c r="G113" i="10"/>
  <c r="G100" i="10"/>
  <c r="AC76" i="4" l="1"/>
  <c r="AC90" i="4" s="1"/>
  <c r="AB90" i="4"/>
  <c r="N19" i="4"/>
  <c r="H34" i="2"/>
  <c r="H31" i="2"/>
  <c r="N17" i="4"/>
  <c r="H32" i="2"/>
  <c r="N20" i="4"/>
  <c r="H35" i="2"/>
  <c r="A64" i="5" s="1"/>
  <c r="N18" i="4"/>
  <c r="H33" i="2"/>
  <c r="N15" i="4"/>
  <c r="N21" i="4" s="1"/>
  <c r="N24" i="4" s="1"/>
  <c r="G140" i="10"/>
  <c r="G30" i="2" s="1"/>
  <c r="G156" i="10" l="1"/>
  <c r="G143" i="10"/>
  <c r="N16" i="11"/>
  <c r="G145" i="10"/>
  <c r="T93" i="4"/>
  <c r="U93" i="4"/>
  <c r="G38" i="2"/>
  <c r="G41" i="2" s="1"/>
  <c r="G46" i="2" s="1"/>
  <c r="G159" i="10"/>
  <c r="A83" i="2"/>
  <c r="A81" i="2"/>
  <c r="A79" i="2"/>
  <c r="A78" i="2"/>
  <c r="A72" i="2"/>
  <c r="A57" i="2"/>
  <c r="A61" i="2"/>
  <c r="A59" i="2"/>
  <c r="A10" i="2"/>
  <c r="A101" i="4"/>
  <c r="A100" i="4"/>
  <c r="A95" i="2"/>
  <c r="A94" i="2"/>
  <c r="E13" i="2"/>
  <c r="G47" i="2" s="1"/>
  <c r="G49" i="2" s="1"/>
  <c r="A12" i="2"/>
  <c r="A11" i="2"/>
  <c r="B6" i="4"/>
  <c r="A98" i="2"/>
  <c r="A97" i="2"/>
  <c r="H15" i="2"/>
  <c r="A15" i="5" s="1"/>
  <c r="B25" i="7"/>
  <c r="B24" i="7"/>
  <c r="N109" i="4"/>
  <c r="N103" i="4"/>
  <c r="N105" i="4" s="1"/>
  <c r="S64" i="4"/>
  <c r="R64" i="4"/>
  <c r="Q64" i="4"/>
  <c r="P64" i="4"/>
  <c r="O39" i="4"/>
  <c r="P39" i="4" s="1"/>
  <c r="G94" i="2"/>
  <c r="G95" i="2" s="1"/>
  <c r="H77" i="2"/>
  <c r="A34" i="5" s="1"/>
  <c r="H76" i="2"/>
  <c r="A33" i="5" s="1"/>
  <c r="H75" i="2"/>
  <c r="A32" i="5" s="1"/>
  <c r="H74" i="2"/>
  <c r="A31" i="5" s="1"/>
  <c r="H73" i="2"/>
  <c r="A30" i="5" s="1"/>
  <c r="H71" i="2"/>
  <c r="A27" i="5" s="1"/>
  <c r="H70" i="2"/>
  <c r="A26" i="5" s="1"/>
  <c r="H69" i="2"/>
  <c r="A25" i="5" s="1"/>
  <c r="H68" i="2"/>
  <c r="A24" i="5" s="1"/>
  <c r="H67" i="2"/>
  <c r="A23" i="5" s="1"/>
  <c r="H66" i="2"/>
  <c r="A22" i="5" s="1"/>
  <c r="H65" i="2"/>
  <c r="A21" i="5" s="1"/>
  <c r="H64" i="2"/>
  <c r="A20" i="5" s="1"/>
  <c r="H63" i="2"/>
  <c r="A19" i="5" s="1"/>
  <c r="H62" i="2"/>
  <c r="A18" i="5" s="1"/>
  <c r="H59" i="2"/>
  <c r="A37" i="5" s="1"/>
  <c r="H37" i="2"/>
  <c r="A66" i="5" s="1"/>
  <c r="H36" i="2"/>
  <c r="A65" i="5" s="1"/>
  <c r="A63" i="5"/>
  <c r="A62" i="5"/>
  <c r="A61" i="5"/>
  <c r="A60" i="5"/>
  <c r="G48" i="2" l="1"/>
  <c r="G79" i="2"/>
  <c r="G52" i="2"/>
  <c r="G51" i="2"/>
  <c r="C17" i="11"/>
  <c r="B13" i="11"/>
  <c r="A81" i="5"/>
  <c r="A80" i="5"/>
  <c r="A79" i="5"/>
  <c r="A78" i="5"/>
  <c r="A77" i="5"/>
  <c r="A76" i="5"/>
  <c r="A75" i="5"/>
  <c r="A74" i="5"/>
  <c r="A73" i="5"/>
  <c r="A72" i="5"/>
  <c r="A49" i="5"/>
  <c r="A48" i="5"/>
  <c r="A47" i="5"/>
  <c r="A46" i="5"/>
  <c r="A45" i="5"/>
  <c r="A44" i="5"/>
  <c r="A43" i="5"/>
  <c r="A42" i="5"/>
  <c r="A41" i="5"/>
  <c r="A40" i="5"/>
  <c r="H95" i="2"/>
  <c r="G97" i="2"/>
  <c r="G98" i="2" s="1"/>
  <c r="AC93" i="4"/>
  <c r="AB93" i="4"/>
  <c r="AA93" i="4"/>
  <c r="Z93" i="4"/>
  <c r="Y93" i="4"/>
  <c r="X93" i="4"/>
  <c r="W93" i="4"/>
  <c r="S93" i="4"/>
  <c r="R93" i="4"/>
  <c r="Q93" i="4"/>
  <c r="P93" i="4"/>
  <c r="O93" i="4"/>
  <c r="V93" i="4"/>
  <c r="A7" i="5"/>
  <c r="H13" i="2"/>
  <c r="H79" i="2"/>
  <c r="H30" i="2"/>
  <c r="A59" i="5" s="1"/>
  <c r="B8" i="3"/>
  <c r="A76" i="7"/>
  <c r="A32" i="3" s="1"/>
  <c r="Q39" i="4"/>
  <c r="O110" i="4"/>
  <c r="N112" i="4"/>
  <c r="N116" i="4" s="1"/>
  <c r="N117" i="4" s="1"/>
  <c r="N119" i="4" s="1"/>
  <c r="H38" i="2"/>
  <c r="A69" i="5" s="1"/>
  <c r="B30" i="4" l="1"/>
  <c r="E30" i="4" s="1"/>
  <c r="H30" i="4"/>
  <c r="L30" i="4"/>
  <c r="M17" i="11"/>
  <c r="G151" i="10"/>
  <c r="I153" i="10" s="1"/>
  <c r="C10" i="8"/>
  <c r="C8" i="8"/>
  <c r="H89" i="2"/>
  <c r="H86" i="2"/>
  <c r="H85" i="2"/>
  <c r="H93" i="2"/>
  <c r="H90" i="2"/>
  <c r="H87" i="2"/>
  <c r="H91" i="2"/>
  <c r="H84" i="2"/>
  <c r="H88" i="2"/>
  <c r="H92" i="2"/>
  <c r="N124" i="4"/>
  <c r="R39" i="4"/>
  <c r="C14" i="8" l="1"/>
  <c r="C16" i="8"/>
  <c r="S39" i="4"/>
  <c r="T39" i="4" s="1"/>
  <c r="T46" i="4" l="1"/>
  <c r="U39" i="4"/>
  <c r="U46" i="4" s="1"/>
  <c r="B33" i="4"/>
  <c r="V97" i="4"/>
  <c r="AC97" i="4"/>
  <c r="AB97" i="4"/>
  <c r="Z97" i="4"/>
  <c r="Y97" i="4"/>
  <c r="AA97" i="4"/>
  <c r="X97" i="4"/>
  <c r="W97" i="4"/>
  <c r="AC95" i="4"/>
  <c r="AC101" i="4" s="1"/>
  <c r="AB95" i="4"/>
  <c r="AB101" i="4" s="1"/>
  <c r="AA95" i="4"/>
  <c r="AA101" i="4" s="1"/>
  <c r="Z95" i="4"/>
  <c r="Z101" i="4" s="1"/>
  <c r="Y95" i="4"/>
  <c r="Y101" i="4" s="1"/>
  <c r="X95" i="4"/>
  <c r="X101" i="4" s="1"/>
  <c r="V95" i="4"/>
  <c r="V101" i="4" s="1"/>
  <c r="AC94" i="4"/>
  <c r="AB94" i="4"/>
  <c r="AA94" i="4"/>
  <c r="Z94" i="4"/>
  <c r="Y94" i="4"/>
  <c r="X94" i="4"/>
  <c r="W95" i="4"/>
  <c r="W101" i="4" s="1"/>
  <c r="V94" i="4"/>
  <c r="W94" i="4"/>
  <c r="W100" i="4" s="1"/>
  <c r="O96" i="4"/>
  <c r="O55" i="4" l="1"/>
  <c r="O56" i="4" s="1"/>
  <c r="B8" i="4"/>
  <c r="V39" i="4"/>
  <c r="W39" i="4" s="1"/>
  <c r="X39" i="4" s="1"/>
  <c r="Y39" i="4" s="1"/>
  <c r="Z39" i="4" s="1"/>
  <c r="AA39" i="4" s="1"/>
  <c r="AB39" i="4" s="1"/>
  <c r="AC39" i="4" s="1"/>
  <c r="P55" i="4" l="1"/>
  <c r="Q55" i="4" l="1"/>
  <c r="P56" i="4"/>
  <c r="Y100" i="4"/>
  <c r="U97" i="4"/>
  <c r="P97" i="4"/>
  <c r="T94" i="4"/>
  <c r="T100" i="4" s="1"/>
  <c r="O94" i="4"/>
  <c r="O100" i="4" s="1"/>
  <c r="V100" i="4"/>
  <c r="S97" i="4"/>
  <c r="AA100" i="4"/>
  <c r="P95" i="4"/>
  <c r="P101" i="4" s="1"/>
  <c r="B100" i="4"/>
  <c r="U95" i="4"/>
  <c r="U101" i="4" s="1"/>
  <c r="U94" i="4"/>
  <c r="U100" i="4" s="1"/>
  <c r="S95" i="4"/>
  <c r="S101" i="4" s="1"/>
  <c r="AC100" i="4"/>
  <c r="S94" i="4"/>
  <c r="T95" i="4"/>
  <c r="T101" i="4" s="1"/>
  <c r="T97" i="4"/>
  <c r="R94" i="4"/>
  <c r="Q95" i="4"/>
  <c r="Q97" i="4"/>
  <c r="Q94" i="4"/>
  <c r="R95" i="4"/>
  <c r="R101" i="4" s="1"/>
  <c r="R97" i="4"/>
  <c r="P94" i="4"/>
  <c r="O95" i="4"/>
  <c r="O97" i="4"/>
  <c r="O98" i="4" s="1"/>
  <c r="P96" i="4" s="1"/>
  <c r="P100" i="4" s="1"/>
  <c r="B101" i="4"/>
  <c r="AB100" i="4"/>
  <c r="Z100" i="4"/>
  <c r="X100" i="4"/>
  <c r="Q56" i="4" l="1"/>
  <c r="R55" i="4"/>
  <c r="P98" i="4"/>
  <c r="Q96" i="4" s="1"/>
  <c r="Q100" i="4" s="1"/>
  <c r="O101" i="4"/>
  <c r="Q101" i="4"/>
  <c r="R56" i="4" l="1"/>
  <c r="S55" i="4"/>
  <c r="T55" i="4" s="1"/>
  <c r="Q98" i="4"/>
  <c r="R98" i="4" s="1"/>
  <c r="O46" i="4"/>
  <c r="T56" i="4" l="1"/>
  <c r="T57" i="4" s="1"/>
  <c r="T66" i="4" s="1"/>
  <c r="U55" i="4"/>
  <c r="U56" i="4" s="1"/>
  <c r="U57" i="4" s="1"/>
  <c r="U66" i="4" s="1"/>
  <c r="S56" i="4"/>
  <c r="R96" i="4"/>
  <c r="R100" i="4" s="1"/>
  <c r="P46" i="4"/>
  <c r="S98" i="4"/>
  <c r="S96" i="4"/>
  <c r="S100" i="4" s="1"/>
  <c r="V55" i="4" l="1"/>
  <c r="R57" i="4"/>
  <c r="P57" i="4"/>
  <c r="P66" i="4" s="1"/>
  <c r="O57" i="4"/>
  <c r="O66" i="4" s="1"/>
  <c r="Q57" i="4"/>
  <c r="S57" i="4"/>
  <c r="Q46" i="4"/>
  <c r="T98" i="4"/>
  <c r="T96" i="4"/>
  <c r="V56" i="4" l="1"/>
  <c r="V57" i="4" s="1"/>
  <c r="W55" i="4"/>
  <c r="Q66" i="4"/>
  <c r="R46" i="4"/>
  <c r="R66" i="4" s="1"/>
  <c r="U98" i="4"/>
  <c r="U96" i="4"/>
  <c r="X55" i="4" l="1"/>
  <c r="W56" i="4"/>
  <c r="W57" i="4" s="1"/>
  <c r="V96" i="4"/>
  <c r="V98" i="4"/>
  <c r="W98" i="4" s="1"/>
  <c r="S46" i="4"/>
  <c r="S66" i="4" s="1"/>
  <c r="W96" i="4"/>
  <c r="X56" i="4" l="1"/>
  <c r="X57" i="4" s="1"/>
  <c r="Y55" i="4"/>
  <c r="X98" i="4"/>
  <c r="Y98" i="4" s="1"/>
  <c r="X96" i="4"/>
  <c r="Z55" i="4" l="1"/>
  <c r="Y56" i="4"/>
  <c r="Y57" i="4" s="1"/>
  <c r="Z96" i="4"/>
  <c r="Z98" i="4"/>
  <c r="Y96" i="4"/>
  <c r="Z56" i="4" l="1"/>
  <c r="Z57" i="4" s="1"/>
  <c r="AA55" i="4"/>
  <c r="V46" i="4"/>
  <c r="V66" i="4" s="1"/>
  <c r="AA96" i="4"/>
  <c r="AA98" i="4"/>
  <c r="AB55" i="4" l="1"/>
  <c r="AA56" i="4"/>
  <c r="AA57" i="4" s="1"/>
  <c r="W46" i="4"/>
  <c r="W66" i="4" s="1"/>
  <c r="AB96" i="4"/>
  <c r="AB98" i="4"/>
  <c r="AC55" i="4" l="1"/>
  <c r="AC56" i="4" s="1"/>
  <c r="AC57" i="4" s="1"/>
  <c r="AB56" i="4"/>
  <c r="AB57" i="4" s="1"/>
  <c r="X46" i="4"/>
  <c r="X66" i="4" s="1"/>
  <c r="AC96" i="4"/>
  <c r="AC98" i="4"/>
  <c r="Y46" i="4" l="1"/>
  <c r="Y66" i="4" s="1"/>
  <c r="Z46" i="4" l="1"/>
  <c r="Z66" i="4" s="1"/>
  <c r="AA46" i="4" l="1"/>
  <c r="AA66" i="4" s="1"/>
  <c r="AC46" i="4" l="1"/>
  <c r="AC66" i="4" s="1"/>
  <c r="AB46" i="4"/>
  <c r="AB66" i="4" s="1"/>
  <c r="B15" i="8" l="1"/>
  <c r="B17" i="8"/>
  <c r="D10" i="8"/>
  <c r="B11" i="8" s="1"/>
  <c r="B9" i="8"/>
  <c r="Q10" i="8"/>
  <c r="I10" i="8"/>
  <c r="J10" i="8"/>
  <c r="G10" i="8"/>
  <c r="M10" i="8"/>
  <c r="E10" i="8"/>
  <c r="K10" i="8"/>
  <c r="F10" i="8"/>
  <c r="H10" i="8"/>
  <c r="N10" i="8"/>
  <c r="L10" i="8"/>
  <c r="R10" i="8"/>
  <c r="O10" i="8"/>
  <c r="P10" i="8"/>
  <c r="D16" i="8"/>
  <c r="J16" i="8"/>
  <c r="I16" i="8"/>
  <c r="H16" i="8"/>
  <c r="G16" i="8"/>
  <c r="F16" i="8"/>
  <c r="E16" i="8"/>
  <c r="N16" i="8"/>
  <c r="L16" i="8"/>
  <c r="K16" i="8"/>
  <c r="P16" i="8"/>
  <c r="R16" i="8"/>
  <c r="Q16" i="8"/>
  <c r="M16" i="8"/>
  <c r="O16" i="8"/>
  <c r="W103" i="4" l="1"/>
  <c r="W105" i="4"/>
  <c r="X103" i="4"/>
  <c r="X105" i="4"/>
  <c r="Y103" i="4"/>
  <c r="Y105" i="4"/>
  <c r="Z103" i="4"/>
  <c r="Z105" i="4"/>
  <c r="AA103" i="4"/>
  <c r="AA105" i="4"/>
  <c r="AB103" i="4"/>
  <c r="AB105" i="4"/>
  <c r="AC103" i="4"/>
  <c r="AC105" i="4"/>
  <c r="P103" i="4"/>
  <c r="P105" i="4"/>
  <c r="Q103" i="4"/>
  <c r="Q105" i="4"/>
  <c r="R103" i="4"/>
  <c r="R105" i="4"/>
  <c r="S103" i="4"/>
  <c r="S105" i="4"/>
  <c r="T103" i="4"/>
  <c r="T105" i="4"/>
  <c r="U103" i="4"/>
  <c r="U105" i="4"/>
  <c r="O103" i="4"/>
  <c r="O105" i="4"/>
  <c r="O108" i="4"/>
  <c r="O109" i="4"/>
  <c r="V103" i="4"/>
  <c r="V105" i="4"/>
  <c r="AC108" i="4" l="1"/>
  <c r="AB108" i="4"/>
  <c r="AA108" i="4"/>
  <c r="Z108" i="4"/>
  <c r="Y108" i="4"/>
  <c r="O112" i="4"/>
  <c r="P108" i="4"/>
  <c r="P109" i="4" l="1"/>
  <c r="O116" i="4"/>
  <c r="O117" i="4" s="1"/>
  <c r="P110" i="4"/>
  <c r="P112" i="4" s="1"/>
  <c r="P116" i="4" l="1"/>
  <c r="P117" i="4" s="1"/>
  <c r="Q110" i="4"/>
  <c r="O124" i="4"/>
  <c r="O119" i="4"/>
  <c r="O129" i="4" s="1"/>
  <c r="Q108" i="4"/>
  <c r="B46" i="7" l="1"/>
  <c r="D14" i="8"/>
  <c r="Q112" i="4"/>
  <c r="Q109" i="4"/>
  <c r="D8" i="8"/>
  <c r="P119" i="4"/>
  <c r="P129" i="4" s="1"/>
  <c r="P124" i="4"/>
  <c r="E14" i="8" l="1"/>
  <c r="E8" i="8"/>
  <c r="B47" i="7"/>
  <c r="R108" i="4"/>
  <c r="Q116" i="4"/>
  <c r="Q117" i="4" s="1"/>
  <c r="R110" i="4"/>
  <c r="Q124" i="4" l="1"/>
  <c r="Q119" i="4"/>
  <c r="Q129" i="4" s="1"/>
  <c r="R112" i="4"/>
  <c r="R109" i="4"/>
  <c r="F8" i="8" l="1"/>
  <c r="B48" i="7"/>
  <c r="F14" i="8"/>
  <c r="S108" i="4"/>
  <c r="R116" i="4"/>
  <c r="R117" i="4" s="1"/>
  <c r="S110" i="4"/>
  <c r="R119" i="4" l="1"/>
  <c r="R129" i="4" s="1"/>
  <c r="R124" i="4"/>
  <c r="S112" i="4"/>
  <c r="S109" i="4"/>
  <c r="G14" i="8" l="1"/>
  <c r="G8" i="8"/>
  <c r="B49" i="7"/>
  <c r="T108" i="4"/>
  <c r="T110" i="4"/>
  <c r="S116" i="4"/>
  <c r="S117" i="4" s="1"/>
  <c r="S119" i="4" l="1"/>
  <c r="S129" i="4" s="1"/>
  <c r="S124" i="4"/>
  <c r="T112" i="4"/>
  <c r="T109" i="4"/>
  <c r="H14" i="8" l="1"/>
  <c r="H8" i="8"/>
  <c r="B50" i="7"/>
  <c r="U108" i="4"/>
  <c r="T116" i="4"/>
  <c r="T117" i="4" s="1"/>
  <c r="U110" i="4"/>
  <c r="T119" i="4" l="1"/>
  <c r="T129" i="4" s="1"/>
  <c r="T124" i="4"/>
  <c r="U112" i="4"/>
  <c r="U109" i="4"/>
  <c r="I14" i="8" l="1"/>
  <c r="I8" i="8"/>
  <c r="B51" i="7"/>
  <c r="V108" i="4"/>
  <c r="V110" i="4"/>
  <c r="U116" i="4"/>
  <c r="U117" i="4" s="1"/>
  <c r="U119" i="4" l="1"/>
  <c r="U129" i="4" s="1"/>
  <c r="U124" i="4"/>
  <c r="V112" i="4"/>
  <c r="V109" i="4"/>
  <c r="J14" i="8" l="1"/>
  <c r="J8" i="8"/>
  <c r="B52" i="7"/>
  <c r="W108" i="4"/>
  <c r="V116" i="4"/>
  <c r="V117" i="4" s="1"/>
  <c r="W110" i="4"/>
  <c r="V124" i="4"/>
  <c r="V119" i="4"/>
  <c r="V129" i="4" s="1"/>
  <c r="K8" i="8" l="1"/>
  <c r="B53" i="7"/>
  <c r="K14" i="8"/>
  <c r="W112" i="4"/>
  <c r="W109" i="4"/>
  <c r="X108" i="4" s="1"/>
  <c r="W116" i="4" l="1"/>
  <c r="W117" i="4" s="1"/>
  <c r="X110" i="4"/>
  <c r="X112" i="4" s="1"/>
  <c r="X116" i="4" l="1"/>
  <c r="X117" i="4" s="1"/>
  <c r="Y110" i="4"/>
  <c r="Y112" i="4" s="1"/>
  <c r="W124" i="4"/>
  <c r="W119" i="4"/>
  <c r="W129" i="4" s="1"/>
  <c r="L8" i="8" l="1"/>
  <c r="B54" i="7"/>
  <c r="L14" i="8"/>
  <c r="Y116" i="4"/>
  <c r="Y117" i="4" s="1"/>
  <c r="Z110" i="4"/>
  <c r="Z112" i="4" s="1"/>
  <c r="X119" i="4"/>
  <c r="X129" i="4" s="1"/>
  <c r="X124" i="4"/>
  <c r="M14" i="8" l="1"/>
  <c r="M8" i="8"/>
  <c r="B55" i="7"/>
  <c r="Z116" i="4"/>
  <c r="Z117" i="4" s="1"/>
  <c r="AA110" i="4"/>
  <c r="AA112" i="4" s="1"/>
  <c r="Y119" i="4"/>
  <c r="Y129" i="4" s="1"/>
  <c r="Y124" i="4"/>
  <c r="N14" i="8" l="1"/>
  <c r="N8" i="8"/>
  <c r="B56" i="7"/>
  <c r="AB110" i="4"/>
  <c r="AB112" i="4" s="1"/>
  <c r="AA116" i="4"/>
  <c r="AA117" i="4" s="1"/>
  <c r="Z124" i="4"/>
  <c r="Z119" i="4"/>
  <c r="Z129" i="4" s="1"/>
  <c r="O8" i="8" l="1"/>
  <c r="B57" i="7"/>
  <c r="O14" i="8"/>
  <c r="AA119" i="4"/>
  <c r="AA129" i="4" s="1"/>
  <c r="AA124" i="4"/>
  <c r="AB116" i="4"/>
  <c r="AB117" i="4" s="1"/>
  <c r="AC110" i="4"/>
  <c r="AC112" i="4" s="1"/>
  <c r="AC116" i="4" s="1"/>
  <c r="AC117" i="4" s="1"/>
  <c r="P14" i="8" l="1"/>
  <c r="P8" i="8"/>
  <c r="B58" i="7"/>
  <c r="AC119" i="4"/>
  <c r="AC124" i="4"/>
  <c r="R14" i="8" s="1"/>
  <c r="AB124" i="4"/>
  <c r="AB119" i="4"/>
  <c r="AB129" i="4" s="1"/>
  <c r="R8" i="8" l="1"/>
  <c r="AC129" i="4"/>
  <c r="Q8" i="8"/>
  <c r="B60" i="7"/>
  <c r="L131" i="4" s="1"/>
  <c r="B59" i="7"/>
  <c r="L121" i="4"/>
  <c r="Q14" i="8"/>
  <c r="L1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JHH</author>
  </authors>
  <commentList>
    <comment ref="D29" authorId="0" shapeId="0" xr:uid="{CFB29D61-3770-457A-9CB3-205E8E41878D}">
      <text>
        <r>
          <rPr>
            <b/>
            <sz val="9"/>
            <color indexed="81"/>
            <rFont val="Tahoma"/>
            <family val="2"/>
          </rPr>
          <t>Toelichting</t>
        </r>
        <r>
          <rPr>
            <sz val="9"/>
            <color indexed="81"/>
            <rFont val="Tahoma"/>
            <family val="2"/>
          </rPr>
          <t xml:space="preserve">
Hier vult u de verwachte gemiddelde jaarlijkse volledig hernieuwbare waterstofproductie in na de subsidieperiode, rekeninghoudend met degradatie-effecten door veroudering van de stacks, die tijdens de subsidieperiode ontstaan. </t>
        </r>
      </text>
    </comment>
    <comment ref="D34" authorId="0" shapeId="0" xr:uid="{3BC03D91-A1A2-459A-961C-FFC8BA1A9C66}">
      <text>
        <r>
          <rPr>
            <b/>
            <sz val="9"/>
            <color indexed="81"/>
            <rFont val="Tahoma"/>
            <family val="2"/>
          </rPr>
          <t>Toelichting</t>
        </r>
        <r>
          <rPr>
            <sz val="9"/>
            <color indexed="81"/>
            <rFont val="Tahoma"/>
            <family val="2"/>
          </rPr>
          <t xml:space="preserve">
Hier vult u de verwachte gemiddelde jaarlijkse niet-volledig hernieuwbare waterstofproductie in na de subsidieperiode, rekeninghoudend met degradatie-effecten door veroudering van de stacks, die tijdens de subsidieperiode ontstaan. </t>
        </r>
      </text>
    </comment>
    <comment ref="D38" authorId="0" shapeId="0" xr:uid="{F8E90406-6CE6-4793-8A22-7E10BB9FD3AC}">
      <text>
        <r>
          <rPr>
            <b/>
            <sz val="9"/>
            <color indexed="81"/>
            <rFont val="Tahoma"/>
            <family val="2"/>
          </rPr>
          <t>Toelichting:</t>
        </r>
        <r>
          <rPr>
            <sz val="9"/>
            <color indexed="81"/>
            <rFont val="Tahoma"/>
            <family val="2"/>
          </rPr>
          <t xml:space="preserve">
U vult hier een subsidielooptijd in van minimaal 5 jaar en maximaal 10 jaar.  
</t>
        </r>
      </text>
    </comment>
    <comment ref="D39" authorId="0" shapeId="0" xr:uid="{78CA24F4-EA8E-4E17-BD96-08A1716EAF81}">
      <text>
        <r>
          <rPr>
            <b/>
            <sz val="9"/>
            <color indexed="81"/>
            <rFont val="Tahoma"/>
            <family val="2"/>
          </rPr>
          <t>Toelichting:</t>
        </r>
        <r>
          <rPr>
            <sz val="9"/>
            <color indexed="81"/>
            <rFont val="Tahoma"/>
            <family val="2"/>
          </rPr>
          <t xml:space="preserve">
Het aantal jaren voor de economische levensduur die u hier invult wordt in de exploitatieberekening ook gebruikt als periode voor de marktopbrengsten, de operationele kosten en de afschrijving. 
De economische levensduur kan langer zijn dan de periode waarvoor u subsidie aanvraagt, maar is niet langer dan 15 jaar.
</t>
        </r>
      </text>
    </comment>
    <comment ref="D40" authorId="0" shapeId="0" xr:uid="{4BCE986C-46FB-4898-9898-7CAB175AB3BB}">
      <text>
        <r>
          <rPr>
            <b/>
            <sz val="9"/>
            <color indexed="81"/>
            <rFont val="Tahoma"/>
            <family val="2"/>
          </rPr>
          <t>Toelichting</t>
        </r>
        <r>
          <rPr>
            <sz val="9"/>
            <color indexed="81"/>
            <rFont val="Tahoma"/>
            <family val="2"/>
          </rPr>
          <t xml:space="preserve">
Het exploitatiesubsidiebedrag in euro/kg H₂ bedraagt de aangevraagde productieprijs minus het jaarlijks vast te stellen correctiebedrag.</t>
        </r>
      </text>
    </comment>
    <comment ref="D41" authorId="0" shapeId="0" xr:uid="{82AC610A-09CF-49C8-A57B-DA60F5CA0162}">
      <text>
        <r>
          <rPr>
            <b/>
            <sz val="9"/>
            <color indexed="81"/>
            <rFont val="Tahoma"/>
            <family val="2"/>
          </rPr>
          <t>Toelichting</t>
        </r>
        <r>
          <rPr>
            <sz val="9"/>
            <color indexed="81"/>
            <rFont val="Tahoma"/>
            <family val="2"/>
          </rPr>
          <t xml:space="preserve">
Aangevraagd subsidiebedrag = (aangevraagde investeringssubsidiebedrag in € : aangevraagde totale  hoeveelheid te produceren volledig hernieuwbare waterstof in kg in de periode die het exploitatiesubsidiedeel zal beslaan) + (aangevraagde productieprijs van volledig hernieuwbare waterstof in € per kg - € 1,7997 per kg waterstof).
Het aangevraagde subsidiebedrag mag niet hoger zijn 9 eur/kg H2.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Rinsma, ing. G.R. (Gerhard)</author>
  </authors>
  <commentList>
    <comment ref="C18" authorId="0" shapeId="0" xr:uid="{0F463025-84A8-47D4-99C3-4A11FD5C9534}">
      <text>
        <r>
          <rPr>
            <sz val="9"/>
            <color indexed="81"/>
            <rFont val="Tahoma"/>
            <family val="2"/>
          </rPr>
          <t xml:space="preserve">Vul eerst onder tabblad  investeringbegroting startdatum en einddatum project in!
</t>
        </r>
      </text>
    </comment>
    <comment ref="C19" authorId="0" shapeId="0" xr:uid="{12201C20-6723-4302-843B-4449971704CF}">
      <text>
        <r>
          <rPr>
            <sz val="9"/>
            <color indexed="81"/>
            <rFont val="Tahoma"/>
            <family val="2"/>
          </rPr>
          <t xml:space="preserve">Vul eerst onder tabblad  investeringbegroting startdatum en einddatum project in!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 Hoekstra</author>
    <author>Hoekstra, ing. J.H. (Jan Hendrik)</author>
    <author>Oerlemans, ir. R.H.J. (Ruud)</author>
  </authors>
  <commentList>
    <comment ref="E11" authorId="0" shapeId="0" xr:uid="{DB18735C-A641-48F2-87C0-B3DE717F23DD}">
      <text>
        <r>
          <rPr>
            <b/>
            <sz val="9"/>
            <color indexed="81"/>
            <rFont val="Tahoma"/>
            <family val="2"/>
          </rPr>
          <t>Eigen vermogen ingeval van balansfinanciering:</t>
        </r>
        <r>
          <rPr>
            <sz val="9"/>
            <color indexed="81"/>
            <rFont val="Tahoma"/>
            <family val="2"/>
          </rPr>
          <t xml:space="preserve">
U kunt hierbij uitgaan van het eigen vermogen op de meest recente jaarrekening, eventueel vermeerderd met extra inbreng van vermogen door aandeelhouders voor het project c.q. de projecten waarvoor u subsidie aanvraagt binnen deze openstellingsronde.  </t>
        </r>
      </text>
    </comment>
    <comment ref="E12" authorId="0" shapeId="0" xr:uid="{76056613-5A6B-412A-B1AF-7686E19E3D1D}">
      <text>
        <r>
          <rPr>
            <b/>
            <sz val="9"/>
            <color indexed="81"/>
            <rFont val="Tahoma"/>
            <family val="2"/>
          </rPr>
          <t>Rentedragende financiering ingeval van balansfinanciering:</t>
        </r>
        <r>
          <rPr>
            <sz val="9"/>
            <color indexed="81"/>
            <rFont val="Tahoma"/>
            <family val="2"/>
          </rPr>
          <t xml:space="preserve">
U kunt hierbij uitgaan van de rentedragende financiering op de meest recente jaarrekening, eventueel vermeerderd met extra financiering voor het project c.q. de projecten waarvoor u subsidie aanvraagt binnen deze openstellingsronde.  </t>
        </r>
      </text>
    </comment>
    <comment ref="E13" authorId="0" shapeId="0" xr:uid="{5BA959CA-0E3C-4744-9021-322AF3DBC2AD}">
      <text>
        <r>
          <rPr>
            <b/>
            <sz val="9"/>
            <color indexed="81"/>
            <rFont val="Tahoma"/>
            <family val="2"/>
          </rPr>
          <t>Eigen vermogen bij balansfinanciering:</t>
        </r>
        <r>
          <rPr>
            <sz val="9"/>
            <color indexed="81"/>
            <rFont val="Tahoma"/>
            <family val="2"/>
          </rPr>
          <t xml:space="preserve">
Voor de bepaling van percentage eigen vermogen wordt de onderstaande berekening aangehouden:
                              eigen vermogen
--------------------------------------------------------------------------------* 100%
eigen vermogen + rentedragende gefinancierd vermogen 
</t>
        </r>
      </text>
    </comment>
    <comment ref="E19" authorId="1" shapeId="0" xr:uid="{A3CD5890-54D4-4181-BD2E-08FACF16070A}">
      <text>
        <r>
          <rPr>
            <sz val="8"/>
            <color indexed="81"/>
            <rFont val="Tahoma"/>
            <family val="2"/>
          </rPr>
          <t xml:space="preserve">Het gaat hier om het aantal productie-installaties waarvoor de aanvrager binnen deze openstellingsronde subsidie aanvraagt.
</t>
        </r>
      </text>
    </comment>
    <comment ref="B22" authorId="0" shapeId="0" xr:uid="{0883EF34-DB4E-4C34-A76D-B6A823DF405B}">
      <text>
        <r>
          <rPr>
            <sz val="9"/>
            <color indexed="81"/>
            <rFont val="Tahoma"/>
            <family val="2"/>
          </rPr>
          <t xml:space="preserve">Hier geeft u een korte omschrijving van uw aanvraag of als u meerdere aanvragen hebt ingediend van alle aanvragen binnen deze openstellingsronde. </t>
        </r>
      </text>
    </comment>
    <comment ref="B25" authorId="0" shapeId="0" xr:uid="{32ECCC70-555C-4142-B006-A8FA95DF9B1D}">
      <text>
        <r>
          <rPr>
            <sz val="9"/>
            <color indexed="81"/>
            <rFont val="Tahoma"/>
            <family val="2"/>
          </rPr>
          <t xml:space="preserve">Hier geeft u een duidelijk plan voor de financiering van de productie-installatie(s) waarvoor u OWE aanvraagt. Het financieringsplan moet aannemelijk maken dat het project gefinancierd kan worden als OWE subsidie wordt verleend.
- Als het aandeel eigen vermogen, anders dan het aangevraagde investeringssubsidiedeel, in de totale investering minder is dan 20% is ook een verklaring van een financier verplicht.
- U geeft altijd inzicht in het eigen vermogen van de subsidieaanvrager zelf. Dit doet u door het bijvoegen van een jaarrekening of bedrijfsbalans of als u geen jaarrekening of bedrijfsbalans heeft (bijvoorbeeld in het geval dat u een recent een nieuwe entiteit heeft opgericht voor het project waarvoor u subsidie aanvraagt) door toe te lichten waarom u als aanvrager geen jaarrekening of bedrijfsbalans heeft.
- Het onderdeel eigen vermogen door derden of aandeelhouder(s) onderbouwt u door een toezegging met deze partij(en) bij te voegen en eventueel een jaarrekening of bedrijfsbalans van deze partij(en) bij te voegen. </t>
        </r>
      </text>
    </comment>
    <comment ref="B30" authorId="1" shapeId="0" xr:uid="{23784CDD-DB9C-4030-8964-73BC5D2BD225}">
      <text>
        <r>
          <rPr>
            <b/>
            <sz val="8"/>
            <color indexed="81"/>
            <rFont val="Tahoma"/>
            <family val="2"/>
          </rPr>
          <t>Investeringen:</t>
        </r>
        <r>
          <rPr>
            <sz val="8"/>
            <color indexed="81"/>
            <rFont val="Tahoma"/>
            <family val="2"/>
          </rPr>
          <t xml:space="preserve">
Hieronder vallen alle te verwachten investeringskosten die moeten worden gemaakt ten behoeve van de realisatie van de productie-installatie(s).  
Wanneer u voor één productie-installatie subsidie aanvraagt in deze openstellingsronde, volstaat het noemen van de totale investeringskosten van de installatie.
Wanneer u voor meerdere installaties aanvraagt in deze openstellingsronde, geeft u per installatie of cluster van soortgelijke installaties de investeringskosten op. U kunt in dit invulblok eventueel extra regels invoegen.
In het tabblad Exploitatieberekening geeft u per installatie per hoofdcomponent de investeringskosten op.</t>
        </r>
      </text>
    </comment>
    <comment ref="G38" authorId="2" shapeId="0" xr:uid="{4DEB4B20-4A91-4EDB-9C77-E9BFA6C663F0}">
      <text>
        <r>
          <rPr>
            <b/>
            <sz val="8"/>
            <color indexed="81"/>
            <rFont val="Tahoma"/>
            <family val="2"/>
          </rPr>
          <t xml:space="preserve">Let op:
</t>
        </r>
        <r>
          <rPr>
            <sz val="8"/>
            <color indexed="81"/>
            <rFont val="Tahoma"/>
            <family val="2"/>
          </rPr>
          <t>Dit totaal moet gelijk zijn aan de som van alle aanvragen indien u meerdere aanvragen in deze openstellingsronde hebt ingediend</t>
        </r>
      </text>
    </comment>
    <comment ref="A54" authorId="2" shapeId="0" xr:uid="{B109F112-6E80-4672-A314-F961AE81EA37}">
      <text>
        <r>
          <rPr>
            <sz val="8"/>
            <color indexed="81"/>
            <rFont val="Tahoma"/>
            <family val="2"/>
          </rPr>
          <t xml:space="preserve">De financiering bestaat uit inbreng eigen vermogen en/of inbreng uit vreemd vermogen. 
U geeft op hoeveel Euro u uit eigen vermogen financiert. Het resterende bedrag specificeert u onder het kopje vreemd vermogen. 
</t>
        </r>
      </text>
    </comment>
    <comment ref="G57" authorId="1" shapeId="0" xr:uid="{A6ABAB8C-40E7-4477-9523-81E3BF52A493}">
      <text>
        <r>
          <rPr>
            <sz val="8"/>
            <color indexed="81"/>
            <rFont val="Tahoma"/>
            <family val="2"/>
          </rPr>
          <t>Het gaat hierbij specifiek om het eigen vermogen van uw onderneming dat beschikbaar is voor de investering in het project op het moment dat u de subsidie aanvraag/aanvragen indient.</t>
        </r>
      </text>
    </comment>
    <comment ref="G59" authorId="1" shapeId="0" xr:uid="{DCF300CC-A4EC-4178-B6C4-3F8E9F0B056E}">
      <text>
        <r>
          <rPr>
            <sz val="8"/>
            <color indexed="81"/>
            <rFont val="Tahoma"/>
            <family val="2"/>
          </rPr>
          <t xml:space="preserve">Hier vult u het totaalbedrag in dat middels crowdfunding of participaties wordt ingebracht.
</t>
        </r>
      </text>
    </comment>
    <comment ref="B62" authorId="1" shapeId="0" xr:uid="{B41E4B29-B323-444D-BE7F-E48FD4B6157D}">
      <text>
        <r>
          <rPr>
            <sz val="8"/>
            <color indexed="81"/>
            <rFont val="Tahoma"/>
            <family val="2"/>
          </rPr>
          <t>Eigen vermogen door derden of aandeelhouder(s) is onderbouwd met een contract.
Maak eventueel duidelijk dat de eigen vermogenverschaffer het geld beschikbaar heeft (jaarrekening of bedrijfsbalans).</t>
        </r>
      </text>
    </comment>
    <comment ref="B73" authorId="1" shapeId="0" xr:uid="{3E733C8E-2217-456D-9AD8-E0A85A7EAE96}">
      <text>
        <r>
          <rPr>
            <sz val="8"/>
            <color indexed="81"/>
            <rFont val="Tahoma"/>
            <family val="2"/>
          </rPr>
          <t>Eigen vermogen door achtergestelde leningen van derden is onderbouwd met een contract.
Maak eventueel duidelijk dat de verschaffer van de achtergestelde lening het geld beschikbaar heeft (jaarrekening of bedrijfsbalans).
Ingeval van een bij overheidswege verschafte achtergestelde lening hoeft u niet te onderbouwen dat deze geld beschikbaar heeft, maar volstaat het contract zelf.</t>
        </r>
      </text>
    </comment>
    <comment ref="B84" authorId="1" shapeId="0" xr:uid="{16A97686-2F0F-4EB4-AC18-7297D26217D0}">
      <text>
        <r>
          <rPr>
            <sz val="8"/>
            <color indexed="81"/>
            <rFont val="Tahoma"/>
            <family val="2"/>
          </rPr>
          <t xml:space="preserve">Onderbouwt u het vreemd vermogen zoveel mogelijk met contracten, offertes of intentieverklaring van de beoogde financier(s). 
</t>
        </r>
        <r>
          <rPr>
            <b/>
            <sz val="8"/>
            <color indexed="81"/>
            <rFont val="Tahoma"/>
            <family val="2"/>
          </rPr>
          <t>Let op:</t>
        </r>
        <r>
          <rPr>
            <sz val="8"/>
            <color indexed="81"/>
            <rFont val="Tahoma"/>
            <family val="2"/>
          </rPr>
          <t xml:space="preserve">
Als u voor de investeringskosten van het project, waarvoor u OWE- subsidie aanvraagt, over minder dan 20% eigen vermogen, exclusief OWE-investeringssubsidie beschikt voor deze investering, moet u verplicht een contract, offerte of intentieverklaring van een financier toevoegen. Hieruit moet blijken dat deze financier bereid is om het project te financieren in geval van een positieve OWE-beschikking.
In het geval dat u wel over 20% van de investeringskosten aan eigen vermogen beschikt, maar dit niet in het project kan of wil investeren moet u eveneens verplicht een contract, offerte of intentieverklaring van de beoogde financier(s) toevoegen.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Hoekstra, ing. J.H. (Jan Hendrik)</author>
    <author>RVO</author>
    <author>JHH</author>
    <author>J.H. Hoekstra</author>
  </authors>
  <commentList>
    <comment ref="E33" authorId="0" shapeId="0" xr:uid="{FE96901E-954C-4690-88F7-3F921FC1A908}">
      <text>
        <r>
          <rPr>
            <sz val="8"/>
            <color indexed="81"/>
            <rFont val="Tahoma"/>
            <family val="2"/>
          </rPr>
          <t xml:space="preserve">De looptijd van de lening is in deze exploitatieberekening standaard gelijk aan de economische levensduur. Indien uw lening een andere looptijd heeft kunt u deze aanpassen. De looptijd van de lening bedraagt minimaal 1 jaar en maximaal het aantal jaren voor de economische levensduur.    
</t>
        </r>
      </text>
    </comment>
    <comment ref="L33" authorId="0" shapeId="0" xr:uid="{D0ABC709-5B7A-4F9E-821F-D64705C99365}">
      <text>
        <r>
          <rPr>
            <b/>
            <sz val="8"/>
            <color indexed="81"/>
            <rFont val="Tahoma"/>
            <family val="2"/>
          </rPr>
          <t>Vreemd vermogen:</t>
        </r>
        <r>
          <rPr>
            <sz val="8"/>
            <color indexed="81"/>
            <rFont val="Tahoma"/>
            <family val="2"/>
          </rPr>
          <t xml:space="preserve">
In dit invulblok vult u het rentepercentage, de looptijd van de lening en de aflossingsvorm van de lening in. Het model rekent dan zelf de aflossing en rente per jaar uit. </t>
        </r>
      </text>
    </comment>
    <comment ref="H39" authorId="0" shapeId="0" xr:uid="{471D93E3-4320-42CE-82A0-632898E10BB1}">
      <text>
        <r>
          <rPr>
            <sz val="8"/>
            <color indexed="81"/>
            <rFont val="Tahoma"/>
            <family val="2"/>
          </rPr>
          <t xml:space="preserve">In deze cel vult u de door u verwachte verkoopprijs van één kg volledig hernieuwbare waterstof in. Hierbij dient u uit te gaan van de verwachte gemiddelde prijs in het eerste productiejaar. 
</t>
        </r>
      </text>
    </comment>
    <comment ref="L39" authorId="0" shapeId="0" xr:uid="{CA53BBD0-50E2-4ACC-9321-47B202327ABC}">
      <text>
        <r>
          <rPr>
            <sz val="8"/>
            <color indexed="81"/>
            <rFont val="Tahoma"/>
            <family val="2"/>
          </rPr>
          <t xml:space="preserve">In deze cel vult u de prijs-indexatie in voor volledig hernieuwbare waterstof.
In het geval dat er sprake is van langlopende leveringscontracten voor uw product met een vaste prijs, kunt u deze op 0% zetten. Anders kunt u de indexatie invullen die u verwacht voor de prijsontwikkeling in Nederland voor volledig hernieuwbare waterstof. 
</t>
        </r>
      </text>
    </comment>
    <comment ref="H41" authorId="1" shapeId="0" xr:uid="{F2267264-EFF4-4220-B740-0393F367BBFD}">
      <text>
        <r>
          <rPr>
            <sz val="9"/>
            <color indexed="81"/>
            <rFont val="Tahoma"/>
            <family val="2"/>
          </rPr>
          <t xml:space="preserve">In deze cel vult u de door u verwachte verkoopprijs van één kg niet-volledig hernieuwbare waterstof in. Hierbij dient u uit te gaan van de verwachte gemiddelde prijs in het eerste productiejaar. 
</t>
        </r>
      </text>
    </comment>
    <comment ref="L41" authorId="1" shapeId="0" xr:uid="{D535E5A4-5989-44C1-94B0-02DB6028839F}">
      <text>
        <r>
          <rPr>
            <sz val="9"/>
            <color indexed="81"/>
            <rFont val="Tahoma"/>
            <family val="2"/>
          </rPr>
          <t xml:space="preserve">In deze cel vult u de prijs-indexatie in voor niet-volledig hernieuwbare waterstof.
In het geval dat er sprake is van langlopende leveringscontracten voor uw product met een vaste prijs, kunt u deze op 0% zetten. Anders kunt u de indexatie invullen die u verwacht voor de prijsontwikkeling in Nederland voor niet-volledig hernieuwbare waterstof. 
</t>
        </r>
      </text>
    </comment>
    <comment ref="H43" authorId="2" shapeId="0" xr:uid="{F889CBCE-EAC3-48A4-B1E1-F32E2A1AB0F4}">
      <text>
        <r>
          <rPr>
            <sz val="9"/>
            <color indexed="81"/>
            <rFont val="Tahoma"/>
            <family val="2"/>
          </rPr>
          <t xml:space="preserve">In deze cel vult u de door u verwachte verkoopprijs van één GvO waterstof in. Hierbij dient u uit te gaan van de verwachte gemiddelde prijs in het eerste productiejaar. 
</t>
        </r>
      </text>
    </comment>
    <comment ref="L43" authorId="2" shapeId="0" xr:uid="{38E37669-5AC6-4912-B3A1-6964862C525E}">
      <text>
        <r>
          <rPr>
            <sz val="9"/>
            <color indexed="81"/>
            <rFont val="Tahoma"/>
            <family val="2"/>
          </rPr>
          <t xml:space="preserve">In deze cel vult u de prijs-indexatie in voor de waarde van de Garanties van Oorsprong (GvO) voor hernieuwbare waterstof.
In het geval dat er sprake is van langlopende leveringscontracten voor de verkoop van GvO's waterstof met een vaste prijs, kunt u deze op 0% zetten. Anders kunt u de indexatie invullen die u verwacht voor de prijsontwikkeling in Nederland voor GvO's waterstof. 
</t>
        </r>
      </text>
    </comment>
    <comment ref="H48" authorId="3" shapeId="0" xr:uid="{E19CB5C3-9CB5-434E-908D-CB91212ED538}">
      <text>
        <r>
          <rPr>
            <sz val="9"/>
            <color indexed="81"/>
            <rFont val="Tahoma"/>
            <family val="2"/>
          </rPr>
          <t xml:space="preserve">De ETS-prijs is in deze exploitatieberekening standaard gelijk aan de ETS-component in het voorlopige correctiebedrag. Indien u kunt onderbouwen dat voor u een andere waarde van toepassing is kunt u dit aanpassen.
</t>
        </r>
      </text>
    </comment>
    <comment ref="L48" authorId="0" shapeId="0" xr:uid="{1FA35F50-4D13-48B8-A56B-FE7F145A22FF}">
      <text>
        <r>
          <rPr>
            <sz val="8"/>
            <color indexed="81"/>
            <rFont val="Tahoma"/>
            <family val="2"/>
          </rPr>
          <t xml:space="preserve">Hier vult u de indexatie in die u verwacht voor de ontwikkeling van de 
ETS-prijs.
</t>
        </r>
      </text>
    </comment>
    <comment ref="H55" authorId="3" shapeId="0" xr:uid="{003EF928-6114-4B7D-917D-4164CFDB6CA6}">
      <text>
        <r>
          <rPr>
            <sz val="9"/>
            <color indexed="81"/>
            <rFont val="Tahoma"/>
            <family val="2"/>
          </rPr>
          <t>Het voorlopige correctiebedrag in deze exploitatieberekening is standaard gelijk aan het voorlopige correctiebedrag (martktprijs product die eventueel vermeerderd is met waarde Garantie van Oorsprong) in de regeling OWE voor de betreffende categorie. Indien u kunt onderbouwen dat een andere set van beginwaarde en indexatie beter aansluit bij een verwachte prijsontwikkeling kunt u dit aanpassen.</t>
        </r>
      </text>
    </comment>
    <comment ref="L55" authorId="3" shapeId="0" xr:uid="{D602FB62-9EE3-4728-B11F-4845354C6EA3}">
      <text>
        <r>
          <rPr>
            <sz val="9"/>
            <color indexed="81"/>
            <rFont val="Tahoma"/>
            <family val="2"/>
          </rPr>
          <t>Hier vult u de indexatie in die u verwacht voor de ontwikkeling van de ETS-prijs.</t>
        </r>
      </text>
    </comment>
    <comment ref="B60" authorId="0" shapeId="0" xr:uid="{A55D0FB1-30B2-4496-8AC2-0F6B0E8FCC86}">
      <text>
        <r>
          <rPr>
            <b/>
            <sz val="8"/>
            <color indexed="81"/>
            <rFont val="Tahoma"/>
            <family val="2"/>
          </rPr>
          <t>Overige exploitatiesubsidies:</t>
        </r>
        <r>
          <rPr>
            <sz val="8"/>
            <color indexed="81"/>
            <rFont val="Tahoma"/>
            <family val="2"/>
          </rPr>
          <t xml:space="preserve">
Hiertoe behoren alle exploitatiesubsidies die u naast OWE subsidie verwacht te ontvangen (kan geen SDE++ zijn). Indien van toepassing vult u hier de naam in van exploitatiesubsidie.  
</t>
        </r>
      </text>
    </comment>
    <comment ref="O60" authorId="0" shapeId="0" xr:uid="{A4D96456-68BC-4EEF-8A0D-C47D5CE4D168}">
      <text>
        <r>
          <rPr>
            <sz val="8"/>
            <color indexed="81"/>
            <rFont val="Tahoma"/>
            <family val="2"/>
          </rPr>
          <t xml:space="preserve">Hier kunt u, indien van toepassing, per jaar het bedrag van de overige exploitatiesubsidies invullen.
</t>
        </r>
      </text>
    </comment>
    <comment ref="B61" authorId="0" shapeId="0" xr:uid="{C7F239A5-FC4D-45ED-827A-8C23CCFDD6C3}">
      <text>
        <r>
          <rPr>
            <b/>
            <sz val="8"/>
            <color indexed="81"/>
            <rFont val="Tahoma"/>
            <family val="2"/>
          </rPr>
          <t>Additionele inkomsten:</t>
        </r>
        <r>
          <rPr>
            <sz val="8"/>
            <color indexed="81"/>
            <rFont val="Tahoma"/>
            <family val="2"/>
          </rPr>
          <t xml:space="preserve">
Hieronder vallen alle opbrengsten die uit de exploitatie van het project verkregen worden, bijvoorbeeld verkoopopbrengst van geleverde diensten (bijv. voor netbalancering) of geleverde producten (bijv. restwarmte of zuurstof). Indien van toepassing kunt u hier het type opbrengsten invullen. 
</t>
        </r>
      </text>
    </comment>
    <comment ref="O61" authorId="0" shapeId="0" xr:uid="{FE18029B-27AD-4334-A54A-F8B31A411FAB}">
      <text>
        <r>
          <rPr>
            <sz val="8"/>
            <color indexed="81"/>
            <rFont val="Tahoma"/>
            <family val="2"/>
          </rPr>
          <t xml:space="preserve">Hier kunt u, indien van toepassing, per jaar het bedrag van de overige additionale inkomsten invullen.
</t>
        </r>
      </text>
    </comment>
    <comment ref="B62" authorId="0" shapeId="0" xr:uid="{7426873D-9A5B-485F-BC5E-EF8EC104F97D}">
      <text>
        <r>
          <rPr>
            <b/>
            <sz val="8"/>
            <color indexed="81"/>
            <rFont val="Tahoma"/>
            <family val="2"/>
          </rPr>
          <t>Additionele inkomsten:</t>
        </r>
        <r>
          <rPr>
            <sz val="8"/>
            <color indexed="81"/>
            <rFont val="Tahoma"/>
            <family val="2"/>
          </rPr>
          <t xml:space="preserve">
Hieronder vallen alle opbrengsten die uit de exploitatie van het project verkregen worden, bijvoorbeeld verkoopopbrengst van geleverde diensten (bijv. voor netbalancering) of geleverde producten (bijv. restwarmte of zuurstof). Indien van toepassing kunt u hier het type opbrengsten invullen. 
</t>
        </r>
      </text>
    </comment>
    <comment ref="O62" authorId="0" shapeId="0" xr:uid="{A3F4D015-1E9C-43C1-A145-35DC1984F445}">
      <text>
        <r>
          <rPr>
            <sz val="8"/>
            <color indexed="81"/>
            <rFont val="Tahoma"/>
            <family val="2"/>
          </rPr>
          <t xml:space="preserve">Hier kunt u, indien van toepassing, per jaar het bedrag van de overige additionale inkomsten invullen.
</t>
        </r>
      </text>
    </comment>
    <comment ref="B63" authorId="0" shapeId="0" xr:uid="{0F6CB6A3-D6F2-4F66-8C2A-F215854F94A2}">
      <text>
        <r>
          <rPr>
            <b/>
            <sz val="8"/>
            <color indexed="81"/>
            <rFont val="Tahoma"/>
            <family val="2"/>
          </rPr>
          <t>Additionele inkomsten:</t>
        </r>
        <r>
          <rPr>
            <sz val="8"/>
            <color indexed="81"/>
            <rFont val="Tahoma"/>
            <family val="2"/>
          </rPr>
          <t xml:space="preserve">
Hieronder vallen alle opbrengsten die uit de exploitatie van het project verkregen worden, bijvoorbeeld verkoopopbrengst van geleverde diensten (bijv. voor netbalancering) of geleverde producten (bijv. restwarmte of zuurstof). Indien van toepassing kunt u hier het type opbrengsten invullen. 
</t>
        </r>
      </text>
    </comment>
    <comment ref="O63" authorId="0" shapeId="0" xr:uid="{4D709AE6-106F-446F-AD8E-AA6056055043}">
      <text>
        <r>
          <rPr>
            <sz val="8"/>
            <color indexed="81"/>
            <rFont val="Tahoma"/>
            <family val="2"/>
          </rPr>
          <t xml:space="preserve">Hier kunt u, indien van toepassing, per jaar het bedrag van de overige additionale inkomsten invullen.
</t>
        </r>
      </text>
    </comment>
    <comment ref="N72" authorId="2" shapeId="0" xr:uid="{1B374935-4D45-4049-88A0-60E68B31A9C2}">
      <text>
        <r>
          <rPr>
            <b/>
            <sz val="9"/>
            <color indexed="81"/>
            <rFont val="Tahoma"/>
            <family val="2"/>
          </rPr>
          <t>Toelichting</t>
        </r>
        <r>
          <rPr>
            <sz val="9"/>
            <color indexed="81"/>
            <rFont val="Tahoma"/>
            <family val="2"/>
          </rPr>
          <t xml:space="preserve">
In dit invulblok geeft u het jaarlijkse elektriciteitsverbruik op voor het elektrolyseproces in MWh. Hierbij houdt u rekening met de degradatie van de stacks. Voor de elektriciteitsprijs is een indexatie van 2% vooringevuld. Dit kunt u eventueel aanpassen voor uw specifieke situatie. 
</t>
        </r>
      </text>
    </comment>
    <comment ref="B76" authorId="3" shapeId="0" xr:uid="{8A671653-8A7F-44A4-BAEE-264894F976CF}">
      <text>
        <r>
          <rPr>
            <sz val="9"/>
            <color indexed="81"/>
            <rFont val="Tahoma"/>
            <family val="2"/>
          </rPr>
          <t xml:space="preserve">Er wordt hier een lijst met standaard kostenposten getoond. Deze lijst kunt u aanpassen aan uw specifieke project. 
</t>
        </r>
      </text>
    </comment>
    <comment ref="N76" authorId="0" shapeId="0" xr:uid="{0D24105D-03EB-4563-A6DB-4C8039A2BDCA}">
      <text>
        <r>
          <rPr>
            <sz val="8"/>
            <color indexed="81"/>
            <rFont val="Tahoma"/>
            <family val="2"/>
          </rPr>
          <t xml:space="preserve">In dit invulblok vult u per jaar de bedragen van de verschillende soorten aan operationele kosten in. 
</t>
        </r>
      </text>
    </comment>
    <comment ref="L115" authorId="0" shapeId="0" xr:uid="{306B3295-AB89-4EC2-A889-371D6195B516}">
      <text>
        <r>
          <rPr>
            <b/>
            <sz val="8"/>
            <color indexed="81"/>
            <rFont val="Tahoma"/>
            <family val="2"/>
          </rPr>
          <t>Tarief winstbelasting:</t>
        </r>
        <r>
          <rPr>
            <sz val="8"/>
            <color indexed="81"/>
            <rFont val="Tahoma"/>
            <family val="2"/>
          </rPr>
          <t xml:space="preserve">
Hier vult u het hoge tarief voor de vennootschapsbelasting in, dan wel (als het niet om een rechtspersoon gaat) het tarief in de hoogste schijf voor de inkomstenbelasting. 
Als u niet belastingplichtig bent, stelt u het tarief op 0.</t>
        </r>
      </text>
    </comment>
  </commentList>
</comments>
</file>

<file path=xl/sharedStrings.xml><?xml version="1.0" encoding="utf-8"?>
<sst xmlns="http://schemas.openxmlformats.org/spreadsheetml/2006/main" count="453" uniqueCount="376">
  <si>
    <t>Algemene instructies</t>
  </si>
  <si>
    <t>Compatibiliteit Excelmodel met Microsoft Windows en andere besturingssystemen</t>
  </si>
  <si>
    <t xml:space="preserve">Dit Excelmodel functioneert het beste in combinatie met Microsoft Windows. Bij gebruik van dit Excelmodel op computers met andere besturingssystemen kunnen (compatiliteits)problemen ontstaan. In dat geval wordt u geadviseerd gebruik te maken van een computer met een Windows besturingssysteem. </t>
  </si>
  <si>
    <t>Instructie per tabblad</t>
  </si>
  <si>
    <t xml:space="preserve">Financiering en projectplan </t>
  </si>
  <si>
    <t xml:space="preserve">Productie en afzet </t>
  </si>
  <si>
    <t>Exploitatieberekening</t>
  </si>
  <si>
    <t>Exploitatieberekening en leasing</t>
  </si>
  <si>
    <t xml:space="preserve">Onder 'inkopen en bedrijfskosten' vult u de exploitatiekosten voor het project in.  </t>
  </si>
  <si>
    <t>Ingeval van lease (bij vaste leasetermijnen) vult als aflossingsvorm onder het kopje 'Financiering' annuïteit in.</t>
  </si>
  <si>
    <t>Volledigheid haalbaarheidsstudie</t>
  </si>
  <si>
    <t>Vergeet u niet dit model haalbaarheidsstudie volledig in te vullen en alle verplichte bijlagen mee te sturen die bij deze haalbaarheidsstudie horen. Onvolledige aanvragen kunnen niet in behandeling worden genomen.</t>
  </si>
  <si>
    <t>Disclaimer</t>
  </si>
  <si>
    <t>Hoewel dit Model haalbaarheidsstudie met de grootst mogelijke zorg is samengesteld kan Rijksdienst voor Ondernemend Nederland geen enkele aansprakelijkheid aanvaarden voor eventuele fouten.</t>
  </si>
  <si>
    <t xml:space="preserve">Onderbouwing eigen vermogen en financiering voor alle productie-installaties waarvoor deze aanvrager binnen deze openstellingsronde subsidie aanvraagt </t>
  </si>
  <si>
    <t>Algemene gegevens</t>
  </si>
  <si>
    <t>Naam aanvrager/producent</t>
  </si>
  <si>
    <t xml:space="preserve">Heeft de aanvrager een jaarrekening?  </t>
  </si>
  <si>
    <t>Voor hoeveel productie-installaties vraagt de aanvrager subsidie aan?</t>
  </si>
  <si>
    <t xml:space="preserve">Overzicht van uw aanvraag of aanvragen binnen deze openstellingsronde  </t>
  </si>
  <si>
    <t>Financieringsplan voor alle productie-installaties waarvoor de aanvrager subsidie aanvraagt</t>
  </si>
  <si>
    <t>Totale investeringen voor alle productie-installaties waarvoor de aanvrager subsidie aanvraagt</t>
  </si>
  <si>
    <t xml:space="preserve">Investeringskosten per productie-installatie (€) </t>
  </si>
  <si>
    <t xml:space="preserve">Eigen vermogen en rentedragende financiering bij balansfinanciering  </t>
  </si>
  <si>
    <t>Tekstvak voor toelichtingen aanvrager</t>
  </si>
  <si>
    <t xml:space="preserve">Productieberekening  </t>
  </si>
  <si>
    <t>Naam aanvrager</t>
  </si>
  <si>
    <t xml:space="preserve">Projectnaam </t>
  </si>
  <si>
    <t xml:space="preserve">U hebt gekozen voor de categorie </t>
  </si>
  <si>
    <t>Verwachte productie</t>
  </si>
  <si>
    <t>Onderbouwing energie- of productopbrengst</t>
  </si>
  <si>
    <t>Subsidielooptijd (jaar)</t>
  </si>
  <si>
    <t>Investeringen</t>
  </si>
  <si>
    <t xml:space="preserve">Investeringskosten gespecificeerd op hoofdcomponenten (€) </t>
  </si>
  <si>
    <t>Financiering</t>
  </si>
  <si>
    <t>Eigen vermogen (%)</t>
  </si>
  <si>
    <t>Eigen vermogen (€)</t>
  </si>
  <si>
    <t>Vreemd vermogen (%)</t>
  </si>
  <si>
    <t>Vreemd vermogen (€)</t>
  </si>
  <si>
    <t>Lening</t>
  </si>
  <si>
    <r>
      <t>Bedrag lening (€</t>
    </r>
    <r>
      <rPr>
        <sz val="10"/>
        <color indexed="8"/>
        <rFont val="Arial"/>
        <family val="2"/>
      </rPr>
      <t>)</t>
    </r>
  </si>
  <si>
    <t>Looptijd lening (jaar)</t>
  </si>
  <si>
    <t>Aflossingsvorm</t>
  </si>
  <si>
    <t xml:space="preserve">Rente lening (%) </t>
  </si>
  <si>
    <t>Kalenderjaar of boekjaar</t>
  </si>
  <si>
    <t>Opbrengsten</t>
  </si>
  <si>
    <t>Prijsindexatie marktwaarde (%)</t>
  </si>
  <si>
    <t>Indexatie correctie productprijs (%)</t>
  </si>
  <si>
    <t>Overige opbrengsten (€)</t>
  </si>
  <si>
    <t>Overige exploitatiesubsidies (€)</t>
  </si>
  <si>
    <t>Totaal overige opbrengsten (€)</t>
  </si>
  <si>
    <t>Totale opbrengsten (€)</t>
  </si>
  <si>
    <t>Kosten</t>
  </si>
  <si>
    <t>Garantie en onderhoud</t>
  </si>
  <si>
    <t>Netbeheer</t>
  </si>
  <si>
    <t>Personeelskosten en administratiekosten</t>
  </si>
  <si>
    <t>Administratiekosten</t>
  </si>
  <si>
    <t>Opstalvergoeding (ingeval van activering invullen onder investeringskosten)</t>
  </si>
  <si>
    <t>Monitoringssysteem/telefoon</t>
  </si>
  <si>
    <t>Onroerende zaakbelasting</t>
  </si>
  <si>
    <t>Verzekeringen</t>
  </si>
  <si>
    <t>Reservedelen</t>
  </si>
  <si>
    <t>Afvoerkosten (voor bijvoorbeeld afval)</t>
  </si>
  <si>
    <t>Onvoorzien</t>
  </si>
  <si>
    <t>Afschijftermijn (jaar)</t>
  </si>
  <si>
    <t>Rentelasten annuïteitenlening</t>
  </si>
  <si>
    <t>Aflossingen annuïteitenlening</t>
  </si>
  <si>
    <t>Rentelasten lineaire lening</t>
  </si>
  <si>
    <t>Aflossingen lineaire lening</t>
  </si>
  <si>
    <t>Openstaande leensom lineaire lening</t>
  </si>
  <si>
    <t>jaar looptijd</t>
  </si>
  <si>
    <t>Totale kosten (€)</t>
  </si>
  <si>
    <t>Winst voor belasting (€)</t>
  </si>
  <si>
    <t xml:space="preserve">Overige aftrekbare bedragen (graag toelichten in tekstvak) </t>
  </si>
  <si>
    <t>Toegepaste overige aftrek</t>
  </si>
  <si>
    <t>Nog beschikbare aftrek</t>
  </si>
  <si>
    <t>Verliezen uit verleden</t>
  </si>
  <si>
    <t>Belastbaar inkomen (€)</t>
  </si>
  <si>
    <t>Tarief winstbelasting % invullen afhankelijk van of u IB-plichtig of VPB-plichtig bent</t>
  </si>
  <si>
    <t>Belasting</t>
  </si>
  <si>
    <t>Netto winst (€)</t>
  </si>
  <si>
    <t>Bruto cashflow na belasting exclusief rentelasten (€)</t>
  </si>
  <si>
    <t>Projectrentabiliteit</t>
  </si>
  <si>
    <t>Netto cashflow voor eigen vermogen verschaffer na belasting en na financieringslasten (€)</t>
  </si>
  <si>
    <t>Rendement op eigen vermogen</t>
  </si>
  <si>
    <t>Debt service coverage ratio (DSCR) per jaar</t>
  </si>
  <si>
    <t>Debt service coverage ratio (DSCR)</t>
  </si>
  <si>
    <t>Overzicht bijlagen</t>
  </si>
  <si>
    <t xml:space="preserve">Verplichte bijlagen behorende bij Financiering en projectplan </t>
  </si>
  <si>
    <t>Beschikking investeringssubsidie</t>
  </si>
  <si>
    <t xml:space="preserve">Onderbouwing eigen vermogen aanvrager (in geval van samenwerkingsverband, dan van alle deelnemers)  </t>
  </si>
  <si>
    <t>Gecontracteerd vermogen</t>
  </si>
  <si>
    <t>Gecontracteerde achtergestelde lening</t>
  </si>
  <si>
    <t>Crowdfunding of participaties</t>
  </si>
  <si>
    <t>Onderbouwing financiering</t>
  </si>
  <si>
    <t>Verplichte bijlagen behorende bij Productie en afzet</t>
  </si>
  <si>
    <t>Facultatieve bijlagen voor sterkere haalbaarheidsstudie</t>
  </si>
  <si>
    <t>Onderbouwing investeringskosten</t>
  </si>
  <si>
    <t>Onderbouwing liquiditeit bij grote projecten</t>
  </si>
  <si>
    <t>Thema's hoofdkeuzelijst</t>
  </si>
  <si>
    <t>Warmte</t>
  </si>
  <si>
    <t>Vragen tabblad Financiering_en_projectplan</t>
  </si>
  <si>
    <t>Vraag producent</t>
  </si>
  <si>
    <t>Antwoord bent u producent (1 = ja, 2 = nee)</t>
  </si>
  <si>
    <t>Vraag financiering</t>
  </si>
  <si>
    <t>Projectfinanciering</t>
  </si>
  <si>
    <t>Balansfinanciering</t>
  </si>
  <si>
    <t>Vraag jaarrekening/bedrijfsbalans</t>
  </si>
  <si>
    <t>Ja</t>
  </si>
  <si>
    <t xml:space="preserve">Nee, aanvrager is kleine onderneming </t>
  </si>
  <si>
    <t>Nee, aanvrager is startende onderneming</t>
  </si>
  <si>
    <t>Vraag investeringssubsidie</t>
  </si>
  <si>
    <t>Nee</t>
  </si>
  <si>
    <t>Niet van toepassing</t>
  </si>
  <si>
    <t>Antwoord investeringssubsidie (1 = ja, 2 = nee)</t>
  </si>
  <si>
    <t>Vraag participaties</t>
  </si>
  <si>
    <t>Antwoord participaties (1= ja, 2 = nee)</t>
  </si>
  <si>
    <t>Vragen tabblad Exploitatieberekening</t>
  </si>
  <si>
    <t>Vragen aflossingsvorm lening</t>
  </si>
  <si>
    <t>Annuïteit</t>
  </si>
  <si>
    <t>Lineair</t>
  </si>
  <si>
    <t>Vragen met ja/nee opties</t>
  </si>
  <si>
    <t>Vragen tabblad Productie_en_afzet</t>
  </si>
  <si>
    <t>Tabel voor onderbouwing energie-of productopbrengst</t>
  </si>
  <si>
    <t>Selectie tekstblok energie-of productopbrengst</t>
  </si>
  <si>
    <t xml:space="preserve">Berekening projectrendement en rendement eigen vermogen over de subsidielooptijd </t>
  </si>
  <si>
    <t xml:space="preserve">Toelichting: </t>
  </si>
  <si>
    <t>Bij jaarlijks sterk varierende cashflows en/of het optreden van negatieve cashflows gedurende de subsidielooptijd kan de standaard IR-berekening in Excel mogelijk onjuiste uitkomsten geven. In dat geval kan als indicatie voor het projectrendement en rendement op eigen vermogen gerekend worden met een gemiddelde cashflow over de subsidielooptijd.</t>
  </si>
  <si>
    <t>Berekening projectrendement</t>
  </si>
  <si>
    <t>Bruto cashflows per jaar conform tabblad explotatieberekening</t>
  </si>
  <si>
    <t xml:space="preserve">Standaard IR-berekening </t>
  </si>
  <si>
    <t>Gemiddelde bruto cashfow per jaar over subsidieperiode</t>
  </si>
  <si>
    <t>Aangepaste IR-berekening gemiddelde bruto cashflow</t>
  </si>
  <si>
    <t>Berekening rendement op eigen vermogen</t>
  </si>
  <si>
    <t>Netto cashflows per jaar conform tabblad explotatieberekening</t>
  </si>
  <si>
    <t>Gemiddelde netto cashfow per jaar over subsidieperiode</t>
  </si>
  <si>
    <t>Aangepaste IR-berekening gemiddelde netto cashflow</t>
  </si>
  <si>
    <t>Deze begroting uitsluitend gebruiken voor de subsidieregeling Opschaling hernieuwbare Waterstofproductie via Elektrolyse (OWE)</t>
  </si>
  <si>
    <t>Aandachtspunten</t>
  </si>
  <si>
    <t>l</t>
  </si>
  <si>
    <t xml:space="preserve">Als bijlage bij het aanvraagformulier moet u onder andere een begroting indienen. Deze begroting dient een gedetailleerd beeld te </t>
  </si>
  <si>
    <t>geven van de kosten van het project waarvoor subsidie wordt aangevraagd.</t>
  </si>
  <si>
    <t xml:space="preserve">Alle kosten dienen per kostencategorie onderbouwd te worden, waar mogelijk met berekeningen en/of offertes. </t>
  </si>
  <si>
    <t>Per kostenpost moet u aangeven in welke projectfase de kosten gemaakt worden. Deze moeten overeenkomen met de fases in het projectplan.</t>
  </si>
  <si>
    <t>Type investeringsproject</t>
  </si>
  <si>
    <t xml:space="preserve">De investeringssteun wordt uitsluitend voor nieuwe installaties toegekend. Er wordt geen steun toegekend of uitgekeerd nadat de installatie in bedrijf is </t>
  </si>
  <si>
    <t xml:space="preserve">genomen en de steun is onafhankelijk van de productie. Daarom dient u een scherpe scheiding aan te brengen tussen het investeringsdeel en het exploitatiedeel </t>
  </si>
  <si>
    <t xml:space="preserve">van uw project. Op het moment dat de elektrolyser waterstof gaat produceren vervallen de kosten als subsidiabel voor investeringssteun en wordt de </t>
  </si>
  <si>
    <t>exploitatiesubsidie van toepassing.</t>
  </si>
  <si>
    <t>A Projectkosten</t>
  </si>
  <si>
    <t>Als projectkosten worden uitsluitend die kostenposten in aanmerking genomen die in deze modelbegroting zijn opgenomen. Voer alleen kosten op die:</t>
  </si>
  <si>
    <t>rechtstreeks zijn toe te rekenen aan het project;</t>
  </si>
  <si>
    <t>voor eigen rekening komen van de aanvrager of de deelnemers in het samenwerkingsverband;</t>
  </si>
  <si>
    <t xml:space="preserve">werkelijk worden gemaakt en betaald ná indiening van de aanvraag.  </t>
  </si>
  <si>
    <t>Geef aan in welke projectfase de kosten gemaakt worden. In het projectplan geeft u aan welke projectfases binnen welke mijlpalen vallen.</t>
  </si>
  <si>
    <t>Mijlpalenbegroting</t>
  </si>
  <si>
    <t>U vult de mijlpalenbegroting in ter bepaling van de voorschotten. De mijlpalen moeten overeenkomen met de mijlpalen die opgegeven zijn in het projectplan.</t>
  </si>
  <si>
    <t>In dit overzicht vult u in welke investeringskosten er per mijlpaal gemaakt worden. Ter bepaling van het subsidievoorschot wordt de referentie</t>
  </si>
  <si>
    <t>naar rato van de investeringskosten afgetrokken en vermenigvuldigd met het subsidiepercentage.</t>
  </si>
  <si>
    <t>Projectnummer:</t>
  </si>
  <si>
    <t>Deelnemer:</t>
  </si>
  <si>
    <t>Middelgroot bedrijf</t>
  </si>
  <si>
    <t>Groot bedrijf</t>
  </si>
  <si>
    <t>Projecttitel</t>
  </si>
  <si>
    <t>Klein bedrijf</t>
  </si>
  <si>
    <t>Onderdeel A: Totale investeringskosten</t>
  </si>
  <si>
    <t>A1. Gronden en gebouwen</t>
  </si>
  <si>
    <t>Omschrijving kosten</t>
  </si>
  <si>
    <t>Projectfase</t>
  </si>
  <si>
    <t xml:space="preserve">Kosten € </t>
  </si>
  <si>
    <t>totaal</t>
  </si>
  <si>
    <t>A2. Machines en apparatuur</t>
  </si>
  <si>
    <t>A3. Materialen en hulpmiddelen</t>
  </si>
  <si>
    <t>A4. Immateriële activa</t>
  </si>
  <si>
    <t>A5. De aanleg van infrastructuur voor aansluiting van de waterstofproductie-installatie</t>
  </si>
  <si>
    <t>MW</t>
  </si>
  <si>
    <t>C1</t>
  </si>
  <si>
    <t>C2</t>
  </si>
  <si>
    <t>C3</t>
  </si>
  <si>
    <t>C4</t>
  </si>
  <si>
    <t>Deelnemer</t>
  </si>
  <si>
    <t>Mijlpaal 1</t>
  </si>
  <si>
    <t>Mijlpaal 2</t>
  </si>
  <si>
    <t>Mijlpaal 3</t>
  </si>
  <si>
    <t>Mijlpaal 4</t>
  </si>
  <si>
    <t>Mijlpaal 5</t>
  </si>
  <si>
    <t>Mijlpaal 6</t>
  </si>
  <si>
    <t>Mijlpaal 7</t>
  </si>
  <si>
    <t>Mijlpaal 8</t>
  </si>
  <si>
    <t>Mijlpaal 9</t>
  </si>
  <si>
    <t>Mijlpaal 10</t>
  </si>
  <si>
    <t>Totaal</t>
  </si>
  <si>
    <t>Totale investeringskosten per mijlpaal</t>
  </si>
  <si>
    <t>Voorschot 90% (indicatief)</t>
  </si>
  <si>
    <t>Startdatum mijlpaal</t>
  </si>
  <si>
    <t>Einddatum mijlpaal</t>
  </si>
  <si>
    <t>Ruimte voor toelichting</t>
  </si>
  <si>
    <t>Opwek hernieuwbare waterstofproductie via elektrolyse</t>
  </si>
  <si>
    <t>opgeven of u nog andere steun ontvangt voor het project. Hieruit volgt de maximale subsidie. Het subsidiebedrag moet u zelf invullen omdat u ook een</t>
  </si>
  <si>
    <t>lager subsidiebedrag kunt aanvragen.</t>
  </si>
  <si>
    <t>Gronden</t>
  </si>
  <si>
    <t>Gebouwen</t>
  </si>
  <si>
    <t>Elektrolyser</t>
  </si>
  <si>
    <t>Elektriciteitsvoorziening</t>
  </si>
  <si>
    <t>Waterzuivering</t>
  </si>
  <si>
    <t>Gas/vloeistofscheiding</t>
  </si>
  <si>
    <t>Gaszuivering incl. gasdroger</t>
  </si>
  <si>
    <t>Compressie in geval van een atmosferisch bedreven elektrolyser</t>
  </si>
  <si>
    <t>Koeling van de installatie</t>
  </si>
  <si>
    <t>Voorzieningen/apparatuur voor aansturing, bemetering en veiligheid</t>
  </si>
  <si>
    <t>Waterstof opslag van max. 24 uur productie</t>
  </si>
  <si>
    <t>Aansluiting op het net of wind-/zonnepark van de waterstofproductie-installatie</t>
  </si>
  <si>
    <t>Waterstofaansluiting van de waterstofproductie-installatie</t>
  </si>
  <si>
    <r>
      <t xml:space="preserve">Batterijopslagsysteem </t>
    </r>
    <r>
      <rPr>
        <i/>
        <sz val="9"/>
        <rFont val="Verdana"/>
        <family val="2"/>
      </rPr>
      <t>(Max. 1 MW en max. 2 MWh per MW inputvermogen elektrolyser)</t>
    </r>
  </si>
  <si>
    <t>Vollasturen</t>
  </si>
  <si>
    <t>Maximale subsidie percentage</t>
  </si>
  <si>
    <t xml:space="preserve">Dit model is bedoeld ter onderbouwing van de financiële en economische haalbaarheid voor OWE projecten. U voegt de haalbaarheidsstudie toe bij de aanvraag. </t>
  </si>
  <si>
    <t xml:space="preserve">Handleiding haalbaarheidsstudie OWE </t>
  </si>
  <si>
    <r>
      <t xml:space="preserve">In het tabblad  'Financieringsplan' moet u onderbouwen hoe u </t>
    </r>
    <r>
      <rPr>
        <u/>
        <sz val="10"/>
        <rFont val="Arial"/>
        <family val="2"/>
      </rPr>
      <t>alle productie-installaties</t>
    </r>
    <r>
      <rPr>
        <sz val="10"/>
        <rFont val="Arial"/>
        <family val="2"/>
      </rPr>
      <t xml:space="preserve"> waarvoor u in deze openstellingsronde subsidie aanvraagt gaat financieren. Dit wordt aan u gevraagd om te kunnen toetsen of u als aanvrager al uw aanvragen ook daadwerkelijk kunt realiseren.     </t>
    </r>
  </si>
  <si>
    <t>In het tabblad  'Exploitatieberekening' zijn een aantal kentallen reeds ingevuld als u de tabbladen 'Financieringsplan' en 'Productie en afzet' hebt ingevuld. U vult voor de betreffende aanvraag nog de ontbrekende gegegevens in en het model rekent dan zelf het projectrendement, het rendement op eigen vermogen en de Debt Service Coverage Ratio (DSCR) uit.</t>
  </si>
  <si>
    <t>Als u als aanvrager een leasemaatschappij bent, vermeldt u onder 'opbrengsten' de exploitatieopbrengsten uit het project. Hier moet u niet de leasetermijnen invullen.</t>
  </si>
  <si>
    <t>Model haalbaarheidsstudie OWE</t>
  </si>
  <si>
    <t xml:space="preserve">Gevraagde Investeringssubsidie   </t>
  </si>
  <si>
    <t>Elektrolyser met aansluiting gekoppeld aan het elektriciteitsnet</t>
  </si>
  <si>
    <t>Elektrolyser met directe lijn gekoppeld aan een productie-installatie voor opwek elektriciteit uit wind- of zonne-energie</t>
  </si>
  <si>
    <t>Elektrolyser met directe lijn gekoppeld aan een productie-installatie voor opwek elektriciteit uit wind- of zonne-energie als met aansluiting gekoppeld aan het elektriciteitsnet</t>
  </si>
  <si>
    <t>Energetisch omzettingsrendement elektrolyser (o.b.v. HHV)</t>
  </si>
  <si>
    <t>Nominaal elektrisch inputvermogen elektrolyser</t>
  </si>
  <si>
    <t>Vermogen elektrolyser van productie waterstof (o.b.v.  HHV)</t>
  </si>
  <si>
    <r>
      <t xml:space="preserve">%  </t>
    </r>
    <r>
      <rPr>
        <i/>
        <sz val="10"/>
        <rFont val="Verdana"/>
        <family val="2"/>
      </rPr>
      <t>(HHV: afkorting hoge verbrandingswaarde)</t>
    </r>
  </si>
  <si>
    <t>kg</t>
  </si>
  <si>
    <t>MW_H2 (HHV)</t>
  </si>
  <si>
    <t>Subsidiabele productie (kg/jaar)</t>
  </si>
  <si>
    <t>MWh H2</t>
  </si>
  <si>
    <t>kg hernieuwbare waterstof</t>
  </si>
  <si>
    <t>Tekst Elektrolyser met aansluiting gekoppeld aan het elektriciteitsnet</t>
  </si>
  <si>
    <t xml:space="preserve">Ter onderbouwing geeft u een beschrijving van uw productie-installatie voor waterstof en een beschrijving van het wind- en/of zonnepark(en) waarmee voor de waterstofproductie-installatie een stroomcontract (PPA) beoogt te worden afgesloten. Daarnaast geeft u een onderbouwing van de jaarlijkse hoeveelheid waterstofproductie met hierbij een waterstofopbrengstberekening.  
Verder onderbouwt u dat uw waterstof productie-installatie voornamelijk in staat is alleen te produceren op de electriciteitsproductie van het wind- en/of zonnepark(en) waarmee voor de waterstofproductie-installatie een stroomcontract (PPA) beoogt te worden afgesloten. </t>
  </si>
  <si>
    <t>Tekst Elektrolyser met directe lijn gekoppeld aan een productie-installatie voor opwek elektriciteit uit wind- of zonne-energie als met aansluiting gekoppeld aan het elektriciteitsnet</t>
  </si>
  <si>
    <t xml:space="preserve">Ter onderbouwing geeft u een beschrijving van uw productie-installatie voor waterstof en een beschrijving van het wind- en/of zonnepark waaraan de waterstofproductie-installatie direct is gekoppeld. Daarnaast geeft u een onderbouwing van de jaarlijkse hoeveelheid waterstofproductie met hierbij een waterstofopbrengstberekening. 
Verder onderbouwt u dat uw waterstof productie-installatie voornamelijk in staat is alleen te produceren op de electriciteitsproductie van het direct gekoppelde wind- en/of zonnepark 
</t>
  </si>
  <si>
    <t xml:space="preserve">Ter onderbouwing geeft u een beschrijving van uw productie-installatie voor waterstof en een beschrijving van het wind- en/of zonnepark waaraan de waterstofproductie-installatie direct is gekoppeld. Tevens een beschrijving van het wind- en/of zonnepark(en) waarmee voor de waterstofproductie-installatie een stroomcontract (PPA) beoogt te worden afgesloten met tussenkomst van het net. Daarnaast geeft u een onderbouwing van de jaarlijkse hoeveelheid waterstofproductie met hierbij een waterstofopbrengstberekening. 
Verder onderbouwt u dat uw waterstof productie-installatie voornamelijk in staat is alleen te produceren op de electriciteitsproductie van het wind- en/of zonnepark dat direct gekoppeld is en beoogd gecontracteerd voor stroomlevering via het net.
</t>
  </si>
  <si>
    <t xml:space="preserve">Onderbouwing afzet van de geproduceerde waterstof </t>
  </si>
  <si>
    <t>Hoe gaat u de waterstof afzetten? O.a. aan welke markt, afnemers en hoeveelheden? Als u een intentieverklaring of contract voor de afname hebt, kunt u een kopie hiervan toevoegen aan de haalbaarheidsstudie. Als u hier niet over beschikt, maak dan op een andere manier aannemelijk dat u de waterstof af kunt zetten, door bijvoorbeeld concrete samenwerkingsplannen met afnemers toe te voegen aan de haalbaarheidsstudie.</t>
  </si>
  <si>
    <t xml:space="preserve">Nominaal elektrisch input vermogen elektrolyser </t>
  </si>
  <si>
    <t>Elektrisch input vermogen elektrolyser (MW)</t>
  </si>
  <si>
    <t>Totaal verwachte opbrengst</t>
  </si>
  <si>
    <t>Opbrengsten productafnemer (€)</t>
  </si>
  <si>
    <t>Opbrengsten OWE</t>
  </si>
  <si>
    <t>Voorlopig correctiebedrag productprijs (€/kg)</t>
  </si>
  <si>
    <t>Verwacht subsidiebedrag per eenheid product (€/kg)</t>
  </si>
  <si>
    <t>Totaal verwachte opbrengst OWE-exploitatiedeel (€/jaar)</t>
  </si>
  <si>
    <t>Addtionele inkomsten  (€)</t>
  </si>
  <si>
    <t>Detailengineering (alleen als uren geactiveerd worden op de balans)</t>
  </si>
  <si>
    <t>Project development  (alleen als geactiveerd wordt op de balans)</t>
  </si>
  <si>
    <t>Leges  (alleen als geactiveerd wordt op de balans)</t>
  </si>
  <si>
    <t>Andere steun door bestuursorganen of Europese Commissie</t>
  </si>
  <si>
    <t>A6. Overige kosten</t>
  </si>
  <si>
    <t>Categorie OWE</t>
  </si>
  <si>
    <t>Hoe financiert u als aanvrager OWE projecten?</t>
  </si>
  <si>
    <t>Overgie kosten</t>
  </si>
  <si>
    <t>Beveiliging</t>
  </si>
  <si>
    <t>Verkoop O2</t>
  </si>
  <si>
    <t>Marktwaarde (€/kg, MWh)</t>
  </si>
  <si>
    <t>Jaarproductie (kg, MWh)</t>
  </si>
  <si>
    <t>Rankingsbedrag euro/MWe</t>
  </si>
  <si>
    <t>Materieel</t>
  </si>
  <si>
    <t>Aantal jaren subsidie-exploitatielooptijd</t>
  </si>
  <si>
    <t>Jaren</t>
  </si>
  <si>
    <t>MW H2 (HHV)</t>
  </si>
  <si>
    <t>Operationele kosten (exclusief afschrijving, rente en belasting) (€)</t>
  </si>
  <si>
    <t>Totale operationele kosten (exclusief afschrijving, rente en belasting) (€)</t>
  </si>
  <si>
    <r>
      <t xml:space="preserve"> euro/kg H</t>
    </r>
    <r>
      <rPr>
        <vertAlign val="subscript"/>
        <sz val="10"/>
        <rFont val="Verdana"/>
        <family val="2"/>
      </rPr>
      <t>2</t>
    </r>
  </si>
  <si>
    <t>Categorie OWE:</t>
  </si>
  <si>
    <t>Investeringsbegroting</t>
  </si>
  <si>
    <t>MWh (1 kg Waterstof is 0,03932 MWh_HHV)</t>
  </si>
  <si>
    <t>Economische levensduur (jaar)</t>
  </si>
  <si>
    <t>Aantal jaren economische levensduur</t>
  </si>
  <si>
    <t>Afschrijving over economische levensduur</t>
  </si>
  <si>
    <t>Gewogen gemiddelde DSCR berekening afhankelijk van looptijd lening</t>
  </si>
  <si>
    <t>Looptijd lening</t>
  </si>
  <si>
    <t>Waarde DSCR</t>
  </si>
  <si>
    <t>Gemiddelde productie volledig hernieuwbare waterstof per jaar in MWh tijdens subsidieperiode</t>
  </si>
  <si>
    <t>Verwachte gemiddelde jaarlijkse volledig hernieuwbare waterstofproductie tijdens subsidieperiode</t>
  </si>
  <si>
    <t>Verwachte jaarlijkse vollasturen volledig hernieuwbare waterstof tijdens subsidieperiode</t>
  </si>
  <si>
    <t>Verwachte gemiddelde jaarlijkse niet volledig hernieuwbare waterstofproductie tijdens subsidieperiode</t>
  </si>
  <si>
    <t>Gemiddelde productie niet volledig hernieuwbare waterstof per jaar in MWh tijdens subsidieperiode</t>
  </si>
  <si>
    <t>Totale jaarlijkse vollasturen hernieuwbare en niet-hernieuwbare waterstof tijdens subsidieperiode</t>
  </si>
  <si>
    <t>Verwachte gemiddelde jaarlijkse volledig hernieuwbare waterstofproductie na subsidieperiode</t>
  </si>
  <si>
    <t>Gemiddelde productie volledig hernieuwbare waterstof per jaar in MWh na subsidieperiode</t>
  </si>
  <si>
    <t>Verwachte jaarlijkse vollasturen volledig hernieuwbare waterstof na subsidieperiode</t>
  </si>
  <si>
    <t>Verwachte gemiddelde jaarlijkse niet volledig hernieuwbare waterstofproductie na subsidieperiode</t>
  </si>
  <si>
    <t>Gemiddelde productie niet volledig hernieuwbare waterstof per jaar in MWh na subsidieperiode</t>
  </si>
  <si>
    <t>Totale jaarlijkse vollasturen hernieuwbare en niet-hernieuwbare waterstof na subsidieperiode</t>
  </si>
  <si>
    <t>Volledig hernieuwbare waterstofproductie tijdens subsidieperiode</t>
  </si>
  <si>
    <t>Niet volledig hernieuwbare waterstofproductie tijdens subsidieperiode</t>
  </si>
  <si>
    <t>Volledig hernieuwbare waterstofproductie na subsidieperiode</t>
  </si>
  <si>
    <t>Niet volledig hernieuwbare waterstofproductie na subsidieperiode</t>
  </si>
  <si>
    <t>Productie volledig hernieuwbare waterstof tijdens subsidieperiode (kg/jaar)</t>
  </si>
  <si>
    <t>Productie volledig hernieuwbare waterstof tijdens subsidieperiode (MWh/jaar)</t>
  </si>
  <si>
    <t>Productie niet volledig hernieuwbare waterstof tijdens subsidieperiode (kg/jaar)</t>
  </si>
  <si>
    <t>Productie niet volledig hernieuwbare waterstof tijdens subsidieperiode (MWh/jaar)</t>
  </si>
  <si>
    <t>Productie volledig hernieuwbare waterstof na subsidieperiode (kg/jaar)</t>
  </si>
  <si>
    <t>Productie volledig hernieuwbare waterstof na subsidieperiode (MWh/jaar)</t>
  </si>
  <si>
    <t>Productie niet volledig hernieuwbare waterstof na subsidieperiode (kg/jaar)</t>
  </si>
  <si>
    <t>Productie niet volledig hernieuwbare waterstof na subsidieperiode (MWh/jaar)</t>
  </si>
  <si>
    <t>Totale productie tijdens subsidieperiode (kg/jaar)</t>
  </si>
  <si>
    <t>Totale productie tijdens subsidieperiode (MWh/jaar)</t>
  </si>
  <si>
    <t>Aantal vollasturen totale waterstofproductie tijdens subsidieperiode (uur/jaar)</t>
  </si>
  <si>
    <t>Aantal vollasturen volledig hernieuwbare waterstof tijdens subsidieperiode (uur/jaar)</t>
  </si>
  <si>
    <t>Aantal vollasturen volledig hernieuwbare waterstof na subsidieperiode (uur/jaar)</t>
  </si>
  <si>
    <t>Aantal vollasturen totale waterstofproductie na subsidieperiode (uur/jaar)</t>
  </si>
  <si>
    <t>Vermogen elektrolyser van productie waterstof (o.b.v. MW H2 HHV)</t>
  </si>
  <si>
    <t>&lt;= Gegevensblok volgt uit tabblad 'Investeringsbegroting</t>
  </si>
  <si>
    <t>Productie niet-volledig hernieuwbare waterstof tijdens subsidieperiode (kg/jaar)</t>
  </si>
  <si>
    <t>Productie niet-volledig hernieuwbare waterstof na subsidieperiode (kg/jaar)</t>
  </si>
  <si>
    <t>GvO's productie waterstof tijdens subsidieperiode (MWh/jaar)</t>
  </si>
  <si>
    <t>GvO's productie waterstof na subsidieperiode (MWh/jaar)</t>
  </si>
  <si>
    <t>Startdatum realisatie van het project</t>
  </si>
  <si>
    <t>Einddatum realisatie van het project</t>
  </si>
  <si>
    <t>Wordt door RVO ingevuld</t>
  </si>
  <si>
    <t>MWe</t>
  </si>
  <si>
    <t xml:space="preserve">Categorie productie-installatie </t>
  </si>
  <si>
    <t>Gevraagde investeringssubsidie (€)</t>
  </si>
  <si>
    <r>
      <t>Totale investeringskosten (€</t>
    </r>
    <r>
      <rPr>
        <sz val="10"/>
        <rFont val="Calibri"/>
        <family val="2"/>
      </rPr>
      <t>)</t>
    </r>
  </si>
  <si>
    <t>Netto investeringskosten (€)</t>
  </si>
  <si>
    <t xml:space="preserve">de investeringskosten. </t>
  </si>
  <si>
    <t xml:space="preserve">Let op: Geef in tabblad Financieringsplan aan hoe u dit deel financiert! </t>
  </si>
  <si>
    <t xml:space="preserve">De tabbladen van dit model haalbaarheidsstudie zijn aan elkaar gekoppeld. U vult eerst de tabbladen ‘Proj.gegevens_invest.begroting’ en ‘Mijlpalenbegroting’ in, daarna het tabblad ‘Financieringsplan’ en tenslotte het tabblad ‘Exploitatieberekening’.  </t>
  </si>
  <si>
    <r>
      <t xml:space="preserve">In het tabblad  'Productie en afzet' wordt u gevraagd voor de </t>
    </r>
    <r>
      <rPr>
        <u/>
        <sz val="10"/>
        <rFont val="Arial"/>
        <family val="2"/>
      </rPr>
      <t>betreffende aanvraag</t>
    </r>
    <r>
      <rPr>
        <sz val="10"/>
        <rFont val="Arial"/>
        <family val="2"/>
      </rPr>
      <t xml:space="preserve"> een omschrijving van de beoogde productie-installatie te geven (in het model projectplan kunt u dit beschrijven) met een product- of energieopbrengstberekening. Tevens wordt u gevraagd een onderbouwing te geven van de beoogde toepassing voor de productie-afzet.          </t>
    </r>
  </si>
  <si>
    <t xml:space="preserve">Als u de tabbladen ‘Proj.gegevens_invest.begroting’, Mijlpalenbegroting’, ‘Financieringsplan’ en ‘Exploitatieberekening’ volledig hebt ingevuld, kunt u in het tabblad 'Overzicht bijlagen' de stukken vinden die u in ieder geval met de haalbaarheidsstudie mee moet sturen bij uw subsidieaanvraag in eloket. </t>
  </si>
  <si>
    <t>Voeg een waterstofopbrengstberekening en een onderbouwing toe hoe de aangevraagde subsidiabele volledig hernieuwbare waterstof en de volledige waterstof-productie tijdens subsidieperiode kan voldoen aan de gedelegeerde handelingen.</t>
  </si>
  <si>
    <t xml:space="preserve">Totale investeringskosten (€) </t>
  </si>
  <si>
    <t xml:space="preserve">Aangevraagde investeringssubsidiedeel OWE, ingevuld onder tabblad 'Investeringsbegroting' (€) </t>
  </si>
  <si>
    <t xml:space="preserve">Netto investeringskosten (€) </t>
  </si>
  <si>
    <t>Eigen vermogen en vreemd vermogen in relatie tot netto investeringskosten</t>
  </si>
  <si>
    <t>Aangevraagde productieprijs OWE (€/kg)</t>
  </si>
  <si>
    <r>
      <t>Aangevraagd subsidiebedrag euro/kg H</t>
    </r>
    <r>
      <rPr>
        <vertAlign val="subscript"/>
        <sz val="11"/>
        <rFont val="Verdana"/>
        <family val="2"/>
      </rPr>
      <t xml:space="preserve">2 </t>
    </r>
    <r>
      <rPr>
        <sz val="11"/>
        <rFont val="Verdana"/>
        <family val="2"/>
      </rPr>
      <t>(</t>
    </r>
    <r>
      <rPr>
        <i/>
        <sz val="11"/>
        <rFont val="Verdana"/>
        <family val="2"/>
      </rPr>
      <t>mag niet hoger zijn dan 9 euro/kg H</t>
    </r>
    <r>
      <rPr>
        <i/>
        <vertAlign val="subscript"/>
        <sz val="11"/>
        <rFont val="Verdana"/>
        <family val="2"/>
      </rPr>
      <t>2</t>
    </r>
    <r>
      <rPr>
        <sz val="11"/>
        <rFont val="Verdana"/>
        <family val="2"/>
      </rPr>
      <t xml:space="preserve">) </t>
    </r>
  </si>
  <si>
    <t>Model haalbaarheidsstudie OWE 2024</t>
  </si>
  <si>
    <t>Maximaal investeringssubsidiepercentage</t>
  </si>
  <si>
    <t>80%</t>
  </si>
  <si>
    <t xml:space="preserve">Onderdeel B: Subsidie </t>
  </si>
  <si>
    <t>B1</t>
  </si>
  <si>
    <t>B2</t>
  </si>
  <si>
    <t>B3</t>
  </si>
  <si>
    <t>B4</t>
  </si>
  <si>
    <t>B5</t>
  </si>
  <si>
    <t>Onderdeel C: Financiering van het project</t>
  </si>
  <si>
    <t>Ruimte voor toelichting onderdeel A t/m C</t>
  </si>
  <si>
    <t>Nog te financieren (=C1-C2-C3)</t>
  </si>
  <si>
    <t>Maximale Steun (B1*B2)</t>
  </si>
  <si>
    <t>Maximale subsidie (B3-B4)</t>
  </si>
  <si>
    <t>Totale investeringskosten (B1)</t>
  </si>
  <si>
    <t>Steun door bestuursorganen of Europese Commissie (B4)</t>
  </si>
  <si>
    <t xml:space="preserve">Totale investeringskosten </t>
  </si>
  <si>
    <t>B6</t>
  </si>
  <si>
    <t>Gevraagde subsidie (B6)</t>
  </si>
  <si>
    <r>
      <t>Dit betreffen projecten met een nominaal elektrisch inputvermogen</t>
    </r>
    <r>
      <rPr>
        <b/>
        <sz val="12"/>
        <rFont val="Arial"/>
        <family val="2"/>
      </rPr>
      <t xml:space="preserve"> groter dan 0,5 MW</t>
    </r>
    <r>
      <rPr>
        <sz val="12"/>
        <rFont val="Arial"/>
        <family val="2"/>
      </rPr>
      <t xml:space="preserve"> die de opschaling van hernieuwbare waterstof in Nederland bevorderen. </t>
    </r>
  </si>
  <si>
    <t>B Subsidie</t>
  </si>
  <si>
    <t>C Financiering</t>
  </si>
  <si>
    <t xml:space="preserve">Onderdeel C geeft een overzicht van de door u opgegeven reeds ontvangen steun, uw aangevraagde investeringssubsidie en het nog te financieren deel van </t>
  </si>
  <si>
    <t xml:space="preserve">Berekening van de subsidie, dit zijn de investeringskosten keer het subsidiepercentage (maximaal 80%). Daarnaast moet u hier </t>
  </si>
  <si>
    <t>Vragen tabblad Proj.gegevens_invest.begroting</t>
  </si>
  <si>
    <t xml:space="preserve">Vraag verleende omgevingsvergunning (leeg = ONWAAR, vinkje = WAAR) </t>
  </si>
  <si>
    <t xml:space="preserve"> euro/MWe</t>
  </si>
  <si>
    <t xml:space="preserve"> euro</t>
  </si>
  <si>
    <t>Overige operationele kosten (€)</t>
  </si>
  <si>
    <t>Kosten elektriciteitsverbruik elektrolyseproces en randapparatuur (€)</t>
  </si>
  <si>
    <t>Elektriciteitsverbruik (MWh/jaar)</t>
  </si>
  <si>
    <t>Elektriciteitskosten (€/MWh)</t>
  </si>
  <si>
    <t>Elektriciteitskosten (€/jaar)</t>
  </si>
  <si>
    <r>
      <t>Totaal aangevraagde investerings -én exploitatiesubsidie (</t>
    </r>
    <r>
      <rPr>
        <i/>
        <sz val="11"/>
        <rFont val="Verdana"/>
        <family val="2"/>
      </rPr>
      <t>mag niet groter zijn dan 499.165.000 euro</t>
    </r>
    <r>
      <rPr>
        <sz val="11"/>
        <rFont val="Verdana"/>
        <family val="2"/>
      </rPr>
      <t>)</t>
    </r>
  </si>
  <si>
    <t>Model investeringsbegroting en haalbaarheidsstudie OWE 2024</t>
  </si>
  <si>
    <r>
      <t>Aangevraagde productieprijs in euro/kg H</t>
    </r>
    <r>
      <rPr>
        <vertAlign val="subscript"/>
        <sz val="11"/>
        <rFont val="Verdana"/>
        <family val="2"/>
      </rPr>
      <t>2</t>
    </r>
    <r>
      <rPr>
        <sz val="11"/>
        <rFont val="Verdana"/>
        <family val="2"/>
      </rPr>
      <t xml:space="preserve"> hernieuwbaar (</t>
    </r>
    <r>
      <rPr>
        <i/>
        <sz val="11"/>
        <rFont val="Verdana"/>
        <family val="2"/>
      </rPr>
      <t>moet hoger zijn dan 1,7997 euro/kg H2</t>
    </r>
    <r>
      <rPr>
        <sz val="11"/>
        <rFont val="Verdana"/>
        <family val="2"/>
      </rPr>
      <t>)</t>
    </r>
  </si>
  <si>
    <t>Is er sprake van een samenwerkingsverband?</t>
  </si>
  <si>
    <t>Vraag samenwerkingsverband</t>
  </si>
  <si>
    <t>Andere investeringssteun (€)</t>
  </si>
  <si>
    <t>Versie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</si>
</sst>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0"/>
    <numFmt numFmtId="165" formatCode="#,##0.000"/>
    <numFmt numFmtId="166" formatCode="0.000"/>
    <numFmt numFmtId="167" formatCode="0.0000"/>
    <numFmt numFmtId="168" formatCode="0.0%"/>
    <numFmt numFmtId="169" formatCode="_-* #,##0_-;_-* #,##0\-;_-* &quot;-&quot;??_-;_-@_-"/>
    <numFmt numFmtId="170" formatCode="#,##0.0000"/>
    <numFmt numFmtId="171" formatCode="#,##0.00_-"/>
    <numFmt numFmtId="172" formatCode="_-* #,##0_-;_-* #,##0\-;_-* &quot;-&quot;_-;_-@_-"/>
    <numFmt numFmtId="173" formatCode="dd\ mmmm\ yyyy"/>
    <numFmt numFmtId="174" formatCode="_-* #,##0.00_-;_-* #,##0.00\-;_-* &quot;-&quot;??_-;_-@_-"/>
    <numFmt numFmtId="175" formatCode="_-&quot;€&quot;\ * #,##0.00_-;_-&quot;€&quot;\ * #,##0.00\-;_-&quot;€&quot;\ * &quot;-&quot;??_-;_-@_-"/>
    <numFmt numFmtId="176" formatCode="_-&quot;€&quot;\ * #,##0_-;_-&quot;€&quot;\ * #,##0\-;_-&quot;€&quot;\ * &quot;-&quot;??_-;_-@_-"/>
    <numFmt numFmtId="177" formatCode="#,##0_-"/>
    <numFmt numFmtId="178" formatCode="_-&quot;€&quot;\ * #,##0_-;_-&quot;€&quot;\ * #,##0\-;_-&quot;€&quot;\ * &quot;0&quot;??_-;_-@_-"/>
    <numFmt numFmtId="179" formatCode="&quot;€&quot;\ #,##0_-"/>
  </numFmts>
  <fonts count="86" x14ac:knownFonts="1">
    <font>
      <sz val="11"/>
      <color theme="1"/>
      <name val="Calibri"/>
      <family val="2"/>
      <scheme val="minor"/>
    </font>
    <font>
      <sz val="11"/>
      <color theme="1"/>
      <name val="Calibri"/>
      <family val="2"/>
      <scheme val="minor"/>
    </font>
    <font>
      <u/>
      <sz val="11"/>
      <color theme="10"/>
      <name val="Calibri"/>
      <family val="2"/>
      <scheme val="minor"/>
    </font>
    <font>
      <b/>
      <sz val="28"/>
      <name val="Arial"/>
      <family val="2"/>
    </font>
    <font>
      <b/>
      <sz val="14"/>
      <name val="Arial"/>
      <family val="2"/>
    </font>
    <font>
      <sz val="10"/>
      <name val="Arial"/>
      <family val="2"/>
    </font>
    <font>
      <sz val="10"/>
      <name val="Calibri"/>
      <family val="2"/>
    </font>
    <font>
      <b/>
      <sz val="12"/>
      <color rgb="FFFF0000"/>
      <name val="Arial"/>
      <family val="2"/>
    </font>
    <font>
      <b/>
      <sz val="10"/>
      <name val="Arial"/>
      <family val="2"/>
    </font>
    <font>
      <u/>
      <sz val="10"/>
      <name val="Arial"/>
      <family val="2"/>
    </font>
    <font>
      <b/>
      <i/>
      <sz val="10"/>
      <name val="Arial"/>
      <family val="2"/>
    </font>
    <font>
      <b/>
      <sz val="10"/>
      <color rgb="FFFF0000"/>
      <name val="Arial"/>
      <family val="2"/>
    </font>
    <font>
      <b/>
      <sz val="36"/>
      <name val="Arial"/>
      <family val="2"/>
    </font>
    <font>
      <b/>
      <sz val="16"/>
      <name val="Arial"/>
      <family val="2"/>
    </font>
    <font>
      <sz val="12"/>
      <color theme="1"/>
      <name val="Arial"/>
      <family val="2"/>
    </font>
    <font>
      <sz val="10"/>
      <color rgb="FFFF0000"/>
      <name val="Arial"/>
      <family val="2"/>
    </font>
    <font>
      <b/>
      <sz val="11"/>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9"/>
      <name val="Arial"/>
      <family val="2"/>
    </font>
    <font>
      <b/>
      <sz val="12"/>
      <name val="Arial"/>
      <family val="2"/>
    </font>
    <font>
      <sz val="11"/>
      <name val="Arial"/>
      <family val="2"/>
    </font>
    <font>
      <b/>
      <sz val="20"/>
      <color rgb="FFFF0000"/>
      <name val="Arial"/>
      <family val="2"/>
    </font>
    <font>
      <b/>
      <u/>
      <sz val="10"/>
      <name val="Arial"/>
      <family val="2"/>
    </font>
    <font>
      <b/>
      <sz val="12"/>
      <color rgb="FFFFC000"/>
      <name val="Arial"/>
      <family val="2"/>
    </font>
    <font>
      <sz val="12"/>
      <color rgb="FFFFC000"/>
      <name val="Arial"/>
      <family val="2"/>
    </font>
    <font>
      <sz val="12"/>
      <name val="Arial"/>
      <family val="2"/>
    </font>
    <font>
      <b/>
      <sz val="10"/>
      <name val="Calibri"/>
      <family val="2"/>
    </font>
    <font>
      <sz val="10"/>
      <color theme="1"/>
      <name val="Arial"/>
      <family val="2"/>
    </font>
    <font>
      <sz val="10"/>
      <color indexed="8"/>
      <name val="Arial"/>
      <family val="2"/>
    </font>
    <font>
      <b/>
      <sz val="14"/>
      <color rgb="FFFF0000"/>
      <name val="Arial"/>
      <family val="2"/>
    </font>
    <font>
      <b/>
      <sz val="26"/>
      <name val="Arial"/>
      <family val="2"/>
    </font>
    <font>
      <i/>
      <sz val="11"/>
      <name val="Arial"/>
      <family val="2"/>
    </font>
    <font>
      <sz val="10"/>
      <color indexed="9"/>
      <name val="Arial"/>
      <family val="2"/>
    </font>
    <font>
      <sz val="10"/>
      <name val="Arial"/>
      <family val="2"/>
    </font>
    <font>
      <sz val="12"/>
      <color indexed="9"/>
      <name val="Arial"/>
      <family val="2"/>
    </font>
    <font>
      <b/>
      <sz val="12"/>
      <color indexed="9"/>
      <name val="Arial"/>
      <family val="2"/>
    </font>
    <font>
      <sz val="12"/>
      <color indexed="22"/>
      <name val="Wingdings"/>
      <charset val="2"/>
    </font>
    <font>
      <sz val="12"/>
      <color indexed="22"/>
      <name val="Arial"/>
      <family val="2"/>
    </font>
    <font>
      <u/>
      <sz val="7.5"/>
      <color indexed="12"/>
      <name val="Times New Roman"/>
      <family val="1"/>
    </font>
    <font>
      <u/>
      <sz val="12"/>
      <color indexed="12"/>
      <name val="Arial"/>
      <family val="2"/>
    </font>
    <font>
      <sz val="10"/>
      <name val="Times New Roman"/>
      <family val="1"/>
    </font>
    <font>
      <b/>
      <sz val="13"/>
      <color indexed="9"/>
      <name val="Arial"/>
      <family val="2"/>
    </font>
    <font>
      <sz val="13"/>
      <color indexed="9"/>
      <name val="Arial"/>
      <family val="2"/>
    </font>
    <font>
      <sz val="13"/>
      <name val="Arial"/>
      <family val="2"/>
    </font>
    <font>
      <i/>
      <sz val="12"/>
      <name val="Arial"/>
      <family val="2"/>
    </font>
    <font>
      <sz val="11"/>
      <name val="Verdana"/>
      <family val="2"/>
    </font>
    <font>
      <b/>
      <sz val="11"/>
      <name val="Verdana"/>
      <family val="2"/>
    </font>
    <font>
      <i/>
      <sz val="11"/>
      <name val="Verdana"/>
      <family val="2"/>
    </font>
    <font>
      <b/>
      <sz val="10"/>
      <name val="Verdana"/>
      <family val="2"/>
    </font>
    <font>
      <sz val="11"/>
      <color indexed="9"/>
      <name val="Verdana"/>
      <family val="2"/>
    </font>
    <font>
      <sz val="10"/>
      <name val="Verdana"/>
      <family val="2"/>
    </font>
    <font>
      <b/>
      <sz val="11"/>
      <color indexed="9"/>
      <name val="Verdana"/>
      <family val="2"/>
    </font>
    <font>
      <sz val="11"/>
      <color rgb="FF000000"/>
      <name val="Calibri"/>
      <family val="2"/>
    </font>
    <font>
      <sz val="11"/>
      <color rgb="FFFF0000"/>
      <name val="Verdana"/>
      <family val="2"/>
    </font>
    <font>
      <b/>
      <sz val="11"/>
      <color rgb="FFFF0000"/>
      <name val="Verdana"/>
      <family val="2"/>
    </font>
    <font>
      <sz val="10"/>
      <color indexed="55"/>
      <name val="Arial"/>
      <family val="2"/>
    </font>
    <font>
      <b/>
      <sz val="14"/>
      <name val="Verdana"/>
      <family val="2"/>
    </font>
    <font>
      <b/>
      <sz val="9"/>
      <name val="Verdana"/>
      <family val="2"/>
    </font>
    <font>
      <sz val="9"/>
      <name val="Verdana"/>
      <family val="2"/>
    </font>
    <font>
      <sz val="9"/>
      <name val="Calibri"/>
      <family val="2"/>
      <scheme val="minor"/>
    </font>
    <font>
      <b/>
      <sz val="16"/>
      <color indexed="9"/>
      <name val="Arial"/>
      <family val="2"/>
    </font>
    <font>
      <i/>
      <sz val="11"/>
      <color indexed="9"/>
      <name val="Arial"/>
      <family val="2"/>
    </font>
    <font>
      <b/>
      <i/>
      <sz val="11"/>
      <color indexed="9"/>
      <name val="Arial"/>
      <family val="2"/>
    </font>
    <font>
      <sz val="11"/>
      <color indexed="9"/>
      <name val="Arial"/>
      <family val="2"/>
    </font>
    <font>
      <i/>
      <sz val="9"/>
      <name val="Verdana"/>
      <family val="2"/>
    </font>
    <font>
      <i/>
      <sz val="10"/>
      <name val="Verdana"/>
      <family val="2"/>
    </font>
    <font>
      <i/>
      <sz val="10"/>
      <name val="Arial"/>
      <family val="2"/>
    </font>
    <font>
      <i/>
      <sz val="11"/>
      <color theme="1"/>
      <name val="Calibri"/>
      <family val="2"/>
      <scheme val="minor"/>
    </font>
    <font>
      <sz val="12"/>
      <name val="Wingdings"/>
      <charset val="2"/>
    </font>
    <font>
      <sz val="8"/>
      <name val="Calibri"/>
      <family val="2"/>
      <scheme val="minor"/>
    </font>
    <font>
      <vertAlign val="subscript"/>
      <sz val="10"/>
      <name val="Verdana"/>
      <family val="2"/>
    </font>
    <font>
      <sz val="11"/>
      <name val="Calibri"/>
      <family val="2"/>
      <scheme val="minor"/>
    </font>
    <font>
      <sz val="12"/>
      <color rgb="FFFF0000"/>
      <name val="Arial"/>
      <family val="2"/>
    </font>
    <font>
      <b/>
      <i/>
      <sz val="11"/>
      <name val="Verdana"/>
      <family val="2"/>
    </font>
    <font>
      <sz val="10"/>
      <color theme="1"/>
      <name val="Calibri"/>
      <family val="2"/>
      <scheme val="minor"/>
    </font>
    <font>
      <b/>
      <sz val="11"/>
      <color theme="1"/>
      <name val="Calibri"/>
      <family val="2"/>
      <scheme val="minor"/>
    </font>
    <font>
      <vertAlign val="subscript"/>
      <sz val="11"/>
      <name val="Verdana"/>
      <family val="2"/>
    </font>
    <font>
      <i/>
      <vertAlign val="subscript"/>
      <sz val="11"/>
      <name val="Verdana"/>
      <family val="2"/>
    </font>
    <font>
      <b/>
      <sz val="16"/>
      <color theme="1"/>
      <name val="Arial"/>
      <family val="2"/>
    </font>
    <font>
      <b/>
      <sz val="10"/>
      <color rgb="FFFF0000"/>
      <name val="Verdana"/>
      <family val="2"/>
    </font>
    <font>
      <b/>
      <sz val="10"/>
      <color theme="1"/>
      <name val="Arial"/>
      <family val="2"/>
    </font>
    <font>
      <b/>
      <sz val="24"/>
      <name val="RijksoverheidSansHeadingTT"/>
      <family val="2"/>
    </font>
    <font>
      <u/>
      <sz val="11"/>
      <color rgb="FF005D96"/>
      <name val="Calibri"/>
      <family val="2"/>
      <scheme val="minor"/>
    </font>
  </fonts>
  <fills count="8">
    <fill>
      <patternFill patternType="none"/>
    </fill>
    <fill>
      <patternFill patternType="gray125"/>
    </fill>
    <fill>
      <patternFill patternType="solid">
        <fgColor rgb="FFB7DEE8"/>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double">
        <color indexed="64"/>
      </top>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6" fillId="0" borderId="0"/>
    <xf numFmtId="0" fontId="41" fillId="0" borderId="0" applyNumberFormat="0" applyFill="0" applyBorder="0" applyAlignment="0" applyProtection="0">
      <alignment vertical="top"/>
      <protection locked="0"/>
    </xf>
    <xf numFmtId="0" fontId="43" fillId="0" borderId="0"/>
    <xf numFmtId="9"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cellStyleXfs>
  <cellXfs count="615">
    <xf numFmtId="0" fontId="0" fillId="0" borderId="0" xfId="0"/>
    <xf numFmtId="0" fontId="0" fillId="2" borderId="0" xfId="0" applyFill="1" applyAlignment="1">
      <alignment horizontal="left" vertical="top" wrapText="1"/>
    </xf>
    <xf numFmtId="0" fontId="5" fillId="2" borderId="0" xfId="0" applyFont="1" applyFill="1" applyAlignment="1">
      <alignment horizontal="left" vertical="top" wrapText="1"/>
    </xf>
    <xf numFmtId="0" fontId="0" fillId="2" borderId="0" xfId="0" applyFill="1"/>
    <xf numFmtId="3" fontId="8" fillId="2" borderId="0" xfId="0" applyNumberFormat="1" applyFont="1" applyFill="1" applyAlignment="1">
      <alignment horizontal="right"/>
    </xf>
    <xf numFmtId="3" fontId="5" fillId="3" borderId="5" xfId="0" applyNumberFormat="1" applyFont="1" applyFill="1" applyBorder="1" applyProtection="1">
      <protection locked="0"/>
    </xf>
    <xf numFmtId="0" fontId="5" fillId="2" borderId="0" xfId="0" applyFont="1" applyFill="1"/>
    <xf numFmtId="3" fontId="0" fillId="2" borderId="0" xfId="0" applyNumberFormat="1" applyFill="1"/>
    <xf numFmtId="49" fontId="5" fillId="2" borderId="0" xfId="0" applyNumberFormat="1" applyFont="1" applyFill="1"/>
    <xf numFmtId="164" fontId="5" fillId="2" borderId="0" xfId="0" applyNumberFormat="1" applyFont="1" applyFill="1"/>
    <xf numFmtId="0" fontId="7" fillId="2" borderId="0" xfId="0" applyFont="1" applyFill="1" applyAlignment="1">
      <alignment horizontal="left"/>
    </xf>
    <xf numFmtId="0" fontId="3" fillId="2" borderId="0" xfId="0" applyFont="1" applyFill="1" applyAlignment="1">
      <alignment vertical="center"/>
    </xf>
    <xf numFmtId="0" fontId="12" fillId="2" borderId="0" xfId="0" applyFont="1" applyFill="1"/>
    <xf numFmtId="0" fontId="4" fillId="2" borderId="0" xfId="0" applyFont="1" applyFill="1"/>
    <xf numFmtId="0" fontId="13" fillId="2" borderId="0" xfId="0" applyFont="1" applyFill="1"/>
    <xf numFmtId="0" fontId="8" fillId="2" borderId="0" xfId="0" applyFont="1" applyFill="1"/>
    <xf numFmtId="0" fontId="8" fillId="2" borderId="0" xfId="0" applyFont="1" applyFill="1" applyAlignment="1">
      <alignment vertical="top"/>
    </xf>
    <xf numFmtId="164" fontId="0" fillId="2" borderId="0" xfId="0" applyNumberFormat="1" applyFill="1"/>
    <xf numFmtId="0" fontId="15" fillId="2" borderId="0" xfId="0" applyFont="1" applyFill="1"/>
    <xf numFmtId="3" fontId="8" fillId="2" borderId="0" xfId="0" applyNumberFormat="1" applyFont="1" applyFill="1"/>
    <xf numFmtId="164" fontId="8" fillId="2" borderId="0" xfId="0" applyNumberFormat="1" applyFont="1" applyFill="1"/>
    <xf numFmtId="0" fontId="22" fillId="2" borderId="0" xfId="0" applyFont="1" applyFill="1"/>
    <xf numFmtId="0" fontId="5" fillId="2" borderId="0" xfId="0" applyFont="1" applyFill="1" applyAlignment="1">
      <alignment horizontal="left"/>
    </xf>
    <xf numFmtId="3" fontId="5" fillId="2" borderId="0" xfId="0" applyNumberFormat="1" applyFont="1" applyFill="1"/>
    <xf numFmtId="0" fontId="24" fillId="2" borderId="0" xfId="0" applyFont="1" applyFill="1"/>
    <xf numFmtId="1" fontId="5" fillId="2" borderId="0" xfId="0" applyNumberFormat="1" applyFont="1" applyFill="1" applyAlignment="1">
      <alignment horizontal="right"/>
    </xf>
    <xf numFmtId="166" fontId="0" fillId="2" borderId="0" xfId="0" applyNumberFormat="1" applyFill="1"/>
    <xf numFmtId="0" fontId="25" fillId="2" borderId="0" xfId="0" applyFont="1" applyFill="1"/>
    <xf numFmtId="1" fontId="5" fillId="2" borderId="0" xfId="0" applyNumberFormat="1" applyFont="1" applyFill="1"/>
    <xf numFmtId="0" fontId="22" fillId="2" borderId="0" xfId="0" applyFont="1" applyFill="1" applyAlignment="1">
      <alignment vertical="center"/>
    </xf>
    <xf numFmtId="0" fontId="26" fillId="2" borderId="0" xfId="0" applyFont="1" applyFill="1" applyAlignment="1">
      <alignment vertical="center"/>
    </xf>
    <xf numFmtId="3" fontId="28" fillId="2" borderId="0" xfId="0" applyNumberFormat="1" applyFont="1" applyFill="1" applyAlignment="1">
      <alignment vertical="center"/>
    </xf>
    <xf numFmtId="3" fontId="22" fillId="2" borderId="0" xfId="1" applyNumberFormat="1" applyFont="1" applyFill="1" applyBorder="1" applyAlignment="1" applyProtection="1">
      <alignment vertical="center"/>
    </xf>
    <xf numFmtId="169" fontId="0" fillId="2" borderId="0" xfId="0" applyNumberFormat="1" applyFill="1"/>
    <xf numFmtId="2" fontId="8" fillId="2" borderId="0" xfId="0" applyNumberFormat="1" applyFont="1" applyFill="1" applyAlignment="1">
      <alignment horizontal="right"/>
    </xf>
    <xf numFmtId="0" fontId="15" fillId="2" borderId="0" xfId="0" applyFont="1" applyFill="1" applyAlignment="1">
      <alignment wrapText="1"/>
    </xf>
    <xf numFmtId="0" fontId="8" fillId="2" borderId="0" xfId="0" applyFont="1" applyFill="1" applyAlignment="1">
      <alignment horizontal="left"/>
    </xf>
    <xf numFmtId="0" fontId="15" fillId="2" borderId="6" xfId="0" applyFont="1" applyFill="1" applyBorder="1"/>
    <xf numFmtId="0" fontId="15" fillId="2" borderId="4" xfId="0" applyFont="1" applyFill="1" applyBorder="1"/>
    <xf numFmtId="0" fontId="15" fillId="2" borderId="5" xfId="0" applyFont="1" applyFill="1" applyBorder="1"/>
    <xf numFmtId="0" fontId="15" fillId="2" borderId="15" xfId="0" applyFont="1" applyFill="1" applyBorder="1"/>
    <xf numFmtId="0" fontId="15" fillId="2" borderId="6" xfId="0" applyFont="1" applyFill="1" applyBorder="1" applyAlignment="1">
      <alignment vertical="top" wrapText="1"/>
    </xf>
    <xf numFmtId="0" fontId="15" fillId="2" borderId="4" xfId="0" applyFont="1" applyFill="1" applyBorder="1" applyAlignment="1">
      <alignment vertical="top"/>
    </xf>
    <xf numFmtId="0" fontId="15" fillId="2" borderId="5" xfId="0" applyFont="1" applyFill="1" applyBorder="1" applyAlignment="1">
      <alignment vertical="top"/>
    </xf>
    <xf numFmtId="164" fontId="15" fillId="2" borderId="5" xfId="0" applyNumberFormat="1" applyFont="1" applyFill="1" applyBorder="1"/>
    <xf numFmtId="164" fontId="15" fillId="2" borderId="4" xfId="0" applyNumberFormat="1" applyFont="1" applyFill="1" applyBorder="1"/>
    <xf numFmtId="166" fontId="15" fillId="2" borderId="5" xfId="0" applyNumberFormat="1" applyFont="1" applyFill="1" applyBorder="1"/>
    <xf numFmtId="3" fontId="15" fillId="2" borderId="5" xfId="0" applyNumberFormat="1" applyFont="1" applyFill="1" applyBorder="1"/>
    <xf numFmtId="3" fontId="15" fillId="2" borderId="15" xfId="0" applyNumberFormat="1" applyFont="1" applyFill="1" applyBorder="1"/>
    <xf numFmtId="0" fontId="8" fillId="0" borderId="0" xfId="0" applyFont="1"/>
    <xf numFmtId="0" fontId="5" fillId="0" borderId="0" xfId="0" applyFont="1"/>
    <xf numFmtId="0" fontId="6" fillId="0" borderId="0" xfId="0" applyFont="1"/>
    <xf numFmtId="0" fontId="5" fillId="0" borderId="0" xfId="0" applyFont="1" applyAlignment="1">
      <alignment horizontal="left"/>
    </xf>
    <xf numFmtId="0" fontId="8" fillId="0" borderId="0" xfId="0" applyFont="1" applyAlignment="1">
      <alignment horizontal="right"/>
    </xf>
    <xf numFmtId="0" fontId="11" fillId="0" borderId="0" xfId="0" applyFont="1"/>
    <xf numFmtId="0" fontId="5" fillId="0" borderId="0" xfId="0" applyFont="1" applyAlignment="1">
      <alignment vertical="top" wrapText="1"/>
    </xf>
    <xf numFmtId="0" fontId="13" fillId="0" borderId="0" xfId="0" applyFont="1"/>
    <xf numFmtId="0" fontId="4" fillId="0" borderId="0" xfId="0" applyFont="1" applyAlignment="1">
      <alignment vertical="top" wrapText="1"/>
    </xf>
    <xf numFmtId="0" fontId="8" fillId="0" borderId="0" xfId="0" applyFont="1" applyAlignment="1">
      <alignment vertical="top" wrapText="1"/>
    </xf>
    <xf numFmtId="0" fontId="0" fillId="0" borderId="0" xfId="0" applyAlignment="1">
      <alignment vertical="top" wrapText="1"/>
    </xf>
    <xf numFmtId="0" fontId="15" fillId="0" borderId="0" xfId="0" applyFont="1"/>
    <xf numFmtId="0" fontId="4" fillId="0" borderId="0" xfId="0" applyFont="1"/>
    <xf numFmtId="0" fontId="15" fillId="0" borderId="0" xfId="0" applyFont="1" applyAlignment="1">
      <alignment wrapText="1"/>
    </xf>
    <xf numFmtId="0" fontId="0" fillId="0" borderId="0" xfId="0" applyAlignment="1">
      <alignment wrapText="1"/>
    </xf>
    <xf numFmtId="0" fontId="22" fillId="0" borderId="0" xfId="0" applyFont="1" applyAlignment="1">
      <alignment wrapText="1"/>
    </xf>
    <xf numFmtId="0" fontId="0" fillId="0" borderId="0" xfId="0" applyAlignment="1">
      <alignment vertical="top"/>
    </xf>
    <xf numFmtId="0" fontId="33" fillId="2" borderId="0" xfId="0" applyFont="1" applyFill="1"/>
    <xf numFmtId="10" fontId="8" fillId="2" borderId="0" xfId="0" applyNumberFormat="1" applyFont="1" applyFill="1"/>
    <xf numFmtId="0" fontId="0" fillId="3" borderId="6" xfId="0" applyFill="1" applyBorder="1" applyProtection="1">
      <protection locked="0"/>
    </xf>
    <xf numFmtId="3" fontId="30" fillId="3" borderId="4" xfId="0" applyNumberFormat="1" applyFont="1" applyFill="1" applyBorder="1" applyProtection="1">
      <protection locked="0"/>
    </xf>
    <xf numFmtId="3" fontId="30" fillId="3" borderId="5" xfId="0" applyNumberFormat="1" applyFont="1" applyFill="1" applyBorder="1" applyProtection="1">
      <protection locked="0"/>
    </xf>
    <xf numFmtId="3" fontId="30" fillId="3" borderId="15" xfId="0" applyNumberFormat="1" applyFont="1" applyFill="1" applyBorder="1" applyProtection="1">
      <protection locked="0"/>
    </xf>
    <xf numFmtId="3" fontId="8" fillId="2" borderId="0" xfId="1" applyNumberFormat="1" applyFont="1" applyFill="1" applyBorder="1" applyAlignment="1" applyProtection="1">
      <alignment vertical="center"/>
    </xf>
    <xf numFmtId="3" fontId="11" fillId="2" borderId="0" xfId="1" applyNumberFormat="1" applyFont="1" applyFill="1" applyBorder="1" applyAlignment="1" applyProtection="1">
      <alignment vertical="center"/>
    </xf>
    <xf numFmtId="10" fontId="30" fillId="3" borderId="6" xfId="0" applyNumberFormat="1" applyFont="1" applyFill="1" applyBorder="1" applyProtection="1">
      <protection locked="0"/>
    </xf>
    <xf numFmtId="3" fontId="30" fillId="3" borderId="7" xfId="0" applyNumberFormat="1" applyFont="1" applyFill="1" applyBorder="1" applyProtection="1">
      <protection locked="0"/>
    </xf>
    <xf numFmtId="3" fontId="30" fillId="3" borderId="8" xfId="0" applyNumberFormat="1" applyFont="1" applyFill="1" applyBorder="1" applyProtection="1">
      <protection locked="0"/>
    </xf>
    <xf numFmtId="3" fontId="30" fillId="3" borderId="10" xfId="0" applyNumberFormat="1" applyFont="1" applyFill="1" applyBorder="1" applyProtection="1">
      <protection locked="0"/>
    </xf>
    <xf numFmtId="3" fontId="30" fillId="3" borderId="0" xfId="0" applyNumberFormat="1" applyFont="1" applyFill="1" applyProtection="1">
      <protection locked="0"/>
    </xf>
    <xf numFmtId="3" fontId="30" fillId="3" borderId="6" xfId="0" applyNumberFormat="1" applyFont="1" applyFill="1" applyBorder="1" applyProtection="1">
      <protection locked="0"/>
    </xf>
    <xf numFmtId="1" fontId="0" fillId="3" borderId="6" xfId="0" applyNumberFormat="1" applyFill="1" applyBorder="1" applyProtection="1">
      <protection locked="0"/>
    </xf>
    <xf numFmtId="168" fontId="30" fillId="3" borderId="6" xfId="0" applyNumberFormat="1" applyFont="1" applyFill="1" applyBorder="1" applyAlignment="1" applyProtection="1">
      <alignment wrapText="1"/>
      <protection locked="0"/>
    </xf>
    <xf numFmtId="0" fontId="5" fillId="6" borderId="0" xfId="0" applyFont="1" applyFill="1"/>
    <xf numFmtId="0" fontId="8" fillId="6" borderId="0" xfId="0" applyFont="1" applyFill="1"/>
    <xf numFmtId="0" fontId="0" fillId="6" borderId="0" xfId="0" applyFill="1"/>
    <xf numFmtId="0" fontId="8" fillId="6" borderId="0" xfId="0" applyFont="1" applyFill="1" applyAlignment="1" applyProtection="1">
      <alignment vertical="top" wrapText="1"/>
      <protection locked="0"/>
    </xf>
    <xf numFmtId="3" fontId="30" fillId="0" borderId="6" xfId="0" applyNumberFormat="1" applyFont="1" applyBorder="1" applyProtection="1">
      <protection locked="0"/>
    </xf>
    <xf numFmtId="3" fontId="30" fillId="2" borderId="0" xfId="0" applyNumberFormat="1" applyFont="1" applyFill="1" applyProtection="1">
      <protection locked="0"/>
    </xf>
    <xf numFmtId="0" fontId="41" fillId="2" borderId="0" xfId="4" applyFill="1" applyAlignment="1" applyProtection="1"/>
    <xf numFmtId="3" fontId="30" fillId="3" borderId="12" xfId="0" applyNumberFormat="1" applyFont="1" applyFill="1" applyBorder="1" applyProtection="1">
      <protection locked="0"/>
    </xf>
    <xf numFmtId="3" fontId="30" fillId="3" borderId="13" xfId="0" applyNumberFormat="1" applyFont="1" applyFill="1" applyBorder="1" applyProtection="1">
      <protection locked="0"/>
    </xf>
    <xf numFmtId="164" fontId="30" fillId="3" borderId="10" xfId="0" applyNumberFormat="1" applyFont="1" applyFill="1" applyBorder="1" applyProtection="1">
      <protection locked="0"/>
    </xf>
    <xf numFmtId="164" fontId="30" fillId="3" borderId="0" xfId="0" applyNumberFormat="1" applyFont="1" applyFill="1" applyProtection="1">
      <protection locked="0"/>
    </xf>
    <xf numFmtId="164" fontId="30" fillId="3" borderId="11" xfId="0" applyNumberFormat="1" applyFont="1" applyFill="1" applyBorder="1" applyProtection="1">
      <protection locked="0"/>
    </xf>
    <xf numFmtId="0" fontId="5" fillId="2" borderId="0" xfId="0" applyFont="1" applyFill="1" applyAlignment="1">
      <alignment wrapText="1"/>
    </xf>
    <xf numFmtId="0" fontId="0" fillId="2" borderId="0" xfId="0" applyFill="1" applyAlignment="1">
      <alignment vertical="top"/>
    </xf>
    <xf numFmtId="0" fontId="15" fillId="2" borderId="6" xfId="0" applyFont="1" applyFill="1" applyBorder="1" applyAlignment="1">
      <alignment horizontal="left" vertical="center" wrapText="1"/>
    </xf>
    <xf numFmtId="0" fontId="8" fillId="2" borderId="0" xfId="0" applyFont="1" applyFill="1" applyAlignment="1">
      <alignment horizontal="center" vertical="center"/>
    </xf>
    <xf numFmtId="179" fontId="62" fillId="3" borderId="6" xfId="3" applyNumberFormat="1" applyFont="1" applyFill="1" applyBorder="1" applyAlignment="1" applyProtection="1">
      <alignment vertical="top" wrapText="1"/>
      <protection locked="0"/>
    </xf>
    <xf numFmtId="179" fontId="62" fillId="3" borderId="1" xfId="3" applyNumberFormat="1" applyFont="1" applyFill="1" applyBorder="1" applyAlignment="1" applyProtection="1">
      <alignment vertical="top" wrapText="1"/>
      <protection locked="0"/>
    </xf>
    <xf numFmtId="14" fontId="62" fillId="3" borderId="6" xfId="3" applyNumberFormat="1" applyFont="1" applyFill="1" applyBorder="1" applyProtection="1">
      <protection locked="0"/>
    </xf>
    <xf numFmtId="9" fontId="51" fillId="2" borderId="0" xfId="6" applyFont="1" applyFill="1" applyBorder="1" applyAlignment="1" applyProtection="1">
      <alignment horizontal="left" vertical="center"/>
    </xf>
    <xf numFmtId="9" fontId="48" fillId="2" borderId="0" xfId="6" applyFont="1" applyFill="1" applyAlignment="1" applyProtection="1"/>
    <xf numFmtId="9" fontId="52" fillId="2" borderId="0" xfId="6" applyFont="1" applyFill="1" applyAlignment="1" applyProtection="1"/>
    <xf numFmtId="9" fontId="53" fillId="2" borderId="0" xfId="6" applyFont="1" applyFill="1" applyBorder="1" applyAlignment="1" applyProtection="1">
      <alignment horizontal="left"/>
    </xf>
    <xf numFmtId="176" fontId="48" fillId="2" borderId="0" xfId="8" applyNumberFormat="1" applyFont="1" applyFill="1" applyBorder="1" applyAlignment="1" applyProtection="1"/>
    <xf numFmtId="176" fontId="48" fillId="2" borderId="8" xfId="8" applyNumberFormat="1" applyFont="1" applyFill="1" applyBorder="1" applyAlignment="1" applyProtection="1"/>
    <xf numFmtId="176" fontId="48" fillId="2" borderId="0" xfId="8" applyNumberFormat="1" applyFont="1" applyFill="1" applyAlignment="1" applyProtection="1"/>
    <xf numFmtId="176" fontId="48" fillId="2" borderId="3" xfId="8" applyNumberFormat="1" applyFont="1" applyFill="1" applyBorder="1" applyAlignment="1" applyProtection="1">
      <alignment horizontal="center"/>
    </xf>
    <xf numFmtId="176" fontId="49" fillId="2" borderId="21" xfId="8" applyNumberFormat="1" applyFont="1" applyFill="1" applyBorder="1" applyAlignment="1" applyProtection="1"/>
    <xf numFmtId="176" fontId="49" fillId="2" borderId="0" xfId="8" applyNumberFormat="1" applyFont="1" applyFill="1" applyBorder="1" applyAlignment="1" applyProtection="1"/>
    <xf numFmtId="176" fontId="52" fillId="2" borderId="0" xfId="8" applyNumberFormat="1" applyFont="1" applyFill="1" applyAlignment="1" applyProtection="1"/>
    <xf numFmtId="176" fontId="49" fillId="2" borderId="0" xfId="8" applyNumberFormat="1" applyFont="1" applyFill="1" applyAlignment="1" applyProtection="1"/>
    <xf numFmtId="176" fontId="49" fillId="2" borderId="22" xfId="8" applyNumberFormat="1" applyFont="1" applyFill="1" applyBorder="1" applyAlignment="1" applyProtection="1"/>
    <xf numFmtId="176" fontId="54" fillId="2" borderId="0" xfId="8" applyNumberFormat="1" applyFont="1" applyFill="1" applyAlignment="1" applyProtection="1"/>
    <xf numFmtId="176" fontId="48" fillId="2" borderId="13" xfId="8" applyNumberFormat="1" applyFont="1" applyFill="1" applyBorder="1" applyAlignment="1" applyProtection="1"/>
    <xf numFmtId="0" fontId="48" fillId="3" borderId="19" xfId="5" applyFont="1" applyFill="1" applyBorder="1" applyProtection="1">
      <protection locked="0"/>
    </xf>
    <xf numFmtId="0" fontId="48" fillId="3" borderId="20" xfId="5" applyFont="1" applyFill="1" applyBorder="1" applyProtection="1">
      <protection locked="0"/>
    </xf>
    <xf numFmtId="0" fontId="50" fillId="3" borderId="20" xfId="5" applyFont="1" applyFill="1" applyBorder="1" applyAlignment="1" applyProtection="1">
      <alignment horizontal="left"/>
      <protection locked="0"/>
    </xf>
    <xf numFmtId="0" fontId="48" fillId="3" borderId="20" xfId="5" applyFont="1" applyFill="1" applyBorder="1" applyAlignment="1" applyProtection="1">
      <alignment horizontal="left"/>
      <protection locked="0"/>
    </xf>
    <xf numFmtId="9" fontId="0" fillId="0" borderId="0" xfId="0" applyNumberFormat="1"/>
    <xf numFmtId="0" fontId="5" fillId="2" borderId="0" xfId="3" applyFont="1" applyFill="1"/>
    <xf numFmtId="0" fontId="35" fillId="2" borderId="0" xfId="3" applyFont="1" applyFill="1"/>
    <xf numFmtId="0" fontId="22" fillId="2" borderId="0" xfId="3" applyFont="1" applyFill="1"/>
    <xf numFmtId="0" fontId="22" fillId="2" borderId="0" xfId="3" applyFont="1" applyFill="1" applyAlignment="1">
      <alignment horizontal="left"/>
    </xf>
    <xf numFmtId="0" fontId="37" fillId="2" borderId="0" xfId="3" applyFont="1" applyFill="1"/>
    <xf numFmtId="0" fontId="38" fillId="7" borderId="0" xfId="3" applyFont="1" applyFill="1"/>
    <xf numFmtId="0" fontId="37" fillId="7" borderId="0" xfId="3" applyFont="1" applyFill="1"/>
    <xf numFmtId="0" fontId="5" fillId="7" borderId="0" xfId="3" applyFont="1" applyFill="1"/>
    <xf numFmtId="0" fontId="28" fillId="2" borderId="0" xfId="3" applyFont="1" applyFill="1"/>
    <xf numFmtId="0" fontId="36" fillId="2" borderId="0" xfId="3" applyFill="1"/>
    <xf numFmtId="0" fontId="28" fillId="2" borderId="0" xfId="3" applyFont="1" applyFill="1" applyAlignment="1">
      <alignment vertical="top"/>
    </xf>
    <xf numFmtId="0" fontId="28" fillId="2" borderId="0" xfId="5" applyFont="1" applyFill="1"/>
    <xf numFmtId="0" fontId="28" fillId="2" borderId="0" xfId="3" applyFont="1" applyFill="1" applyAlignment="1">
      <alignment horizontal="left"/>
    </xf>
    <xf numFmtId="0" fontId="44" fillId="7" borderId="0" xfId="3" applyFont="1" applyFill="1"/>
    <xf numFmtId="0" fontId="45" fillId="7" borderId="0" xfId="3" applyFont="1" applyFill="1"/>
    <xf numFmtId="0" fontId="46" fillId="2" borderId="0" xfId="3" applyFont="1" applyFill="1"/>
    <xf numFmtId="0" fontId="44" fillId="2" borderId="0" xfId="3" applyFont="1" applyFill="1"/>
    <xf numFmtId="0" fontId="59" fillId="2" borderId="0" xfId="3" applyFont="1" applyFill="1"/>
    <xf numFmtId="0" fontId="48" fillId="2" borderId="0" xfId="5" applyFont="1" applyFill="1"/>
    <xf numFmtId="171" fontId="48" fillId="2" borderId="0" xfId="5" applyNumberFormat="1" applyFont="1" applyFill="1"/>
    <xf numFmtId="0" fontId="49" fillId="2" borderId="7" xfId="5" applyFont="1" applyFill="1" applyBorder="1"/>
    <xf numFmtId="0" fontId="49" fillId="2" borderId="8" xfId="5" applyFont="1" applyFill="1" applyBorder="1" applyAlignment="1">
      <alignment horizontal="left"/>
    </xf>
    <xf numFmtId="0" fontId="49" fillId="2" borderId="8" xfId="5" applyFont="1" applyFill="1" applyBorder="1"/>
    <xf numFmtId="171" fontId="48" fillId="2" borderId="9" xfId="5" applyNumberFormat="1" applyFont="1" applyFill="1" applyBorder="1"/>
    <xf numFmtId="0" fontId="48" fillId="2" borderId="10" xfId="5" applyFont="1" applyFill="1" applyBorder="1"/>
    <xf numFmtId="49" fontId="51" fillId="2" borderId="0" xfId="5" applyNumberFormat="1" applyFont="1" applyFill="1" applyAlignment="1">
      <alignment horizontal="left" vertical="center"/>
    </xf>
    <xf numFmtId="0" fontId="37" fillId="2" borderId="0" xfId="3" applyFont="1" applyFill="1" applyAlignment="1">
      <alignment horizontal="left"/>
    </xf>
    <xf numFmtId="172" fontId="53" fillId="2" borderId="10" xfId="5" applyNumberFormat="1" applyFont="1" applyFill="1" applyBorder="1" applyAlignment="1">
      <alignment horizontal="left"/>
    </xf>
    <xf numFmtId="172" fontId="48" fillId="2" borderId="11" xfId="5" applyNumberFormat="1" applyFont="1" applyFill="1" applyBorder="1" applyAlignment="1">
      <alignment horizontal="left"/>
    </xf>
    <xf numFmtId="49" fontId="53" fillId="2" borderId="10" xfId="5" applyNumberFormat="1" applyFont="1" applyFill="1" applyBorder="1" applyAlignment="1">
      <alignment horizontal="left"/>
    </xf>
    <xf numFmtId="172" fontId="48" fillId="2" borderId="10" xfId="5" applyNumberFormat="1" applyFont="1" applyFill="1" applyBorder="1" applyAlignment="1">
      <alignment horizontal="left"/>
    </xf>
    <xf numFmtId="0" fontId="48" fillId="2" borderId="12" xfId="5" applyFont="1" applyFill="1" applyBorder="1"/>
    <xf numFmtId="0" fontId="49" fillId="2" borderId="13" xfId="5" applyFont="1" applyFill="1" applyBorder="1"/>
    <xf numFmtId="172" fontId="48" fillId="2" borderId="12" xfId="5" applyNumberFormat="1" applyFont="1" applyFill="1" applyBorder="1" applyAlignment="1">
      <alignment horizontal="left"/>
    </xf>
    <xf numFmtId="172" fontId="48" fillId="2" borderId="14" xfId="5" applyNumberFormat="1" applyFont="1" applyFill="1" applyBorder="1" applyAlignment="1">
      <alignment horizontal="left"/>
    </xf>
    <xf numFmtId="0" fontId="49" fillId="2" borderId="0" xfId="5" applyFont="1" applyFill="1"/>
    <xf numFmtId="0" fontId="54" fillId="2" borderId="0" xfId="5" applyFont="1" applyFill="1"/>
    <xf numFmtId="0" fontId="52" fillId="2" borderId="0" xfId="5" applyFont="1" applyFill="1"/>
    <xf numFmtId="9" fontId="52" fillId="2" borderId="0" xfId="5" applyNumberFormat="1" applyFont="1" applyFill="1"/>
    <xf numFmtId="0" fontId="49" fillId="2" borderId="1" xfId="5" applyFont="1" applyFill="1" applyBorder="1"/>
    <xf numFmtId="0" fontId="48" fillId="2" borderId="2" xfId="5" applyFont="1" applyFill="1" applyBorder="1"/>
    <xf numFmtId="0" fontId="49" fillId="2" borderId="2" xfId="5" applyFont="1" applyFill="1" applyBorder="1"/>
    <xf numFmtId="171" fontId="48" fillId="2" borderId="3" xfId="5" applyNumberFormat="1" applyFont="1" applyFill="1" applyBorder="1" applyAlignment="1">
      <alignment horizontal="center"/>
    </xf>
    <xf numFmtId="0" fontId="48" fillId="2" borderId="8" xfId="5" applyFont="1" applyFill="1" applyBorder="1"/>
    <xf numFmtId="171" fontId="48" fillId="2" borderId="8" xfId="5" applyNumberFormat="1" applyFont="1" applyFill="1" applyBorder="1" applyAlignment="1">
      <alignment horizontal="center"/>
    </xf>
    <xf numFmtId="0" fontId="48" fillId="2" borderId="0" xfId="5" applyFont="1" applyFill="1" applyAlignment="1">
      <alignment horizontal="center"/>
    </xf>
    <xf numFmtId="0" fontId="50" fillId="2" borderId="0" xfId="5" applyFont="1" applyFill="1"/>
    <xf numFmtId="0" fontId="55" fillId="2" borderId="0" xfId="3" applyFont="1" applyFill="1" applyAlignment="1">
      <alignment vertical="center"/>
    </xf>
    <xf numFmtId="9" fontId="49" fillId="2" borderId="0" xfId="5" applyNumberFormat="1" applyFont="1" applyFill="1"/>
    <xf numFmtId="3" fontId="48" fillId="2" borderId="0" xfId="5" applyNumberFormat="1" applyFont="1" applyFill="1"/>
    <xf numFmtId="0" fontId="52" fillId="2" borderId="0" xfId="5" applyFont="1" applyFill="1" applyAlignment="1">
      <alignment horizontal="right"/>
    </xf>
    <xf numFmtId="177" fontId="52" fillId="2" borderId="0" xfId="5" applyNumberFormat="1" applyFont="1" applyFill="1" applyAlignment="1">
      <alignment horizontal="left"/>
    </xf>
    <xf numFmtId="0" fontId="28" fillId="2" borderId="0" xfId="3" applyFont="1" applyFill="1" applyAlignment="1">
      <alignment vertical="top" wrapText="1"/>
    </xf>
    <xf numFmtId="0" fontId="48" fillId="3" borderId="8" xfId="5" applyFont="1" applyFill="1" applyBorder="1" applyProtection="1">
      <protection locked="0"/>
    </xf>
    <xf numFmtId="0" fontId="48" fillId="3" borderId="24" xfId="5" applyFont="1" applyFill="1" applyBorder="1" applyProtection="1">
      <protection locked="0"/>
    </xf>
    <xf numFmtId="176" fontId="48" fillId="3" borderId="9" xfId="8" applyNumberFormat="1" applyFont="1" applyFill="1" applyBorder="1" applyAlignment="1" applyProtection="1">
      <protection locked="0"/>
    </xf>
    <xf numFmtId="0" fontId="48" fillId="3" borderId="0" xfId="5" applyFont="1" applyFill="1" applyProtection="1">
      <protection locked="0"/>
    </xf>
    <xf numFmtId="176" fontId="48" fillId="3" borderId="11" xfId="8" applyNumberFormat="1" applyFont="1" applyFill="1" applyBorder="1" applyAlignment="1" applyProtection="1">
      <protection locked="0"/>
    </xf>
    <xf numFmtId="0" fontId="50" fillId="3" borderId="25" xfId="5" applyFont="1" applyFill="1" applyBorder="1" applyAlignment="1" applyProtection="1">
      <alignment horizontal="left"/>
      <protection locked="0"/>
    </xf>
    <xf numFmtId="0" fontId="48" fillId="3" borderId="13" xfId="5" applyFont="1" applyFill="1" applyBorder="1" applyProtection="1">
      <protection locked="0"/>
    </xf>
    <xf numFmtId="176" fontId="48" fillId="3" borderId="14" xfId="8" applyNumberFormat="1" applyFont="1" applyFill="1" applyBorder="1" applyAlignment="1" applyProtection="1">
      <protection locked="0"/>
    </xf>
    <xf numFmtId="16" fontId="48" fillId="3" borderId="24" xfId="5" applyNumberFormat="1" applyFont="1" applyFill="1" applyBorder="1" applyProtection="1">
      <protection locked="0"/>
    </xf>
    <xf numFmtId="0" fontId="48" fillId="3" borderId="25" xfId="5" applyFont="1" applyFill="1" applyBorder="1" applyAlignment="1" applyProtection="1">
      <alignment horizontal="left"/>
      <protection locked="0"/>
    </xf>
    <xf numFmtId="0" fontId="58" fillId="2" borderId="0" xfId="3" applyFont="1" applyFill="1"/>
    <xf numFmtId="0" fontId="34" fillId="2" borderId="0" xfId="3" applyFont="1" applyFill="1"/>
    <xf numFmtId="0" fontId="23" fillId="2" borderId="0" xfId="3" applyFont="1" applyFill="1"/>
    <xf numFmtId="0" fontId="51" fillId="2" borderId="0" xfId="3" applyFont="1" applyFill="1" applyAlignment="1">
      <alignment horizontal="right"/>
    </xf>
    <xf numFmtId="172" fontId="5" fillId="2" borderId="0" xfId="3" applyNumberFormat="1" applyFont="1" applyFill="1"/>
    <xf numFmtId="172" fontId="69" fillId="2" borderId="0" xfId="3" applyNumberFormat="1" applyFont="1" applyFill="1"/>
    <xf numFmtId="0" fontId="16" fillId="2" borderId="0" xfId="3" applyFont="1" applyFill="1" applyAlignment="1">
      <alignment horizontal="left" wrapText="1"/>
    </xf>
    <xf numFmtId="0" fontId="16" fillId="2" borderId="0" xfId="3" applyFont="1" applyFill="1" applyAlignment="1">
      <alignment horizontal="center" wrapText="1"/>
    </xf>
    <xf numFmtId="0" fontId="58" fillId="2" borderId="0" xfId="3" applyFont="1" applyFill="1" applyAlignment="1">
      <alignment horizontal="left"/>
    </xf>
    <xf numFmtId="0" fontId="57" fillId="2" borderId="0" xfId="3" applyFont="1" applyFill="1"/>
    <xf numFmtId="0" fontId="60" fillId="2" borderId="6" xfId="3" applyFont="1" applyFill="1" applyBorder="1" applyAlignment="1">
      <alignment horizontal="left" vertical="top"/>
    </xf>
    <xf numFmtId="0" fontId="60" fillId="2" borderId="1" xfId="3" applyFont="1" applyFill="1" applyBorder="1" applyAlignment="1">
      <alignment horizontal="center" vertical="top" wrapText="1"/>
    </xf>
    <xf numFmtId="0" fontId="60" fillId="2" borderId="6" xfId="3" applyFont="1" applyFill="1" applyBorder="1" applyAlignment="1">
      <alignment vertical="top"/>
    </xf>
    <xf numFmtId="0" fontId="61" fillId="2" borderId="1" xfId="3" applyFont="1" applyFill="1" applyBorder="1" applyAlignment="1">
      <alignment horizontal="left" wrapText="1"/>
    </xf>
    <xf numFmtId="0" fontId="11" fillId="2" borderId="0" xfId="3" applyFont="1" applyFill="1"/>
    <xf numFmtId="179" fontId="62" fillId="2" borderId="0" xfId="3" applyNumberFormat="1" applyFont="1" applyFill="1" applyAlignment="1">
      <alignment vertical="top" wrapText="1"/>
    </xf>
    <xf numFmtId="179" fontId="36" fillId="2" borderId="0" xfId="3" applyNumberFormat="1" applyFill="1"/>
    <xf numFmtId="0" fontId="61" fillId="2" borderId="6" xfId="3" applyFont="1" applyFill="1" applyBorder="1" applyAlignment="1">
      <alignment horizontal="left" wrapText="1"/>
    </xf>
    <xf numFmtId="0" fontId="13" fillId="2" borderId="7" xfId="3" applyFont="1" applyFill="1" applyBorder="1" applyAlignment="1">
      <alignment horizontal="left"/>
    </xf>
    <xf numFmtId="0" fontId="63" fillId="2" borderId="8" xfId="3" applyFont="1" applyFill="1" applyBorder="1" applyAlignment="1">
      <alignment horizontal="left"/>
    </xf>
    <xf numFmtId="0" fontId="37" fillId="2" borderId="8" xfId="3" applyFont="1" applyFill="1" applyBorder="1" applyAlignment="1">
      <alignment horizontal="left"/>
    </xf>
    <xf numFmtId="0" fontId="64" fillId="2" borderId="8" xfId="3" applyFont="1" applyFill="1" applyBorder="1" applyAlignment="1">
      <alignment horizontal="left"/>
    </xf>
    <xf numFmtId="0" fontId="65" fillId="2" borderId="8" xfId="3" applyFont="1" applyFill="1" applyBorder="1" applyAlignment="1">
      <alignment horizontal="left"/>
    </xf>
    <xf numFmtId="0" fontId="66" fillId="2" borderId="8" xfId="3" applyFont="1" applyFill="1" applyBorder="1" applyAlignment="1">
      <alignment horizontal="left"/>
    </xf>
    <xf numFmtId="0" fontId="66" fillId="2" borderId="9" xfId="3" applyFont="1" applyFill="1" applyBorder="1" applyAlignment="1">
      <alignment horizontal="left"/>
    </xf>
    <xf numFmtId="179" fontId="62" fillId="3" borderId="6" xfId="3" applyNumberFormat="1" applyFont="1" applyFill="1" applyBorder="1" applyAlignment="1" applyProtection="1">
      <alignment horizontal="right" vertical="top" wrapText="1"/>
      <protection locked="0"/>
    </xf>
    <xf numFmtId="179" fontId="62" fillId="3" borderId="6" xfId="3" applyNumberFormat="1" applyFont="1" applyFill="1" applyBorder="1" applyAlignment="1" applyProtection="1">
      <alignment horizontal="center" wrapText="1"/>
      <protection locked="0"/>
    </xf>
    <xf numFmtId="0" fontId="11" fillId="2" borderId="0" xfId="0" applyFont="1" applyFill="1" applyAlignment="1">
      <alignment vertical="top"/>
    </xf>
    <xf numFmtId="0" fontId="7" fillId="2" borderId="0" xfId="0" applyFont="1" applyFill="1"/>
    <xf numFmtId="0" fontId="4" fillId="2" borderId="0" xfId="0" applyFont="1" applyFill="1" applyAlignment="1">
      <alignment vertical="top"/>
    </xf>
    <xf numFmtId="0" fontId="14" fillId="2" borderId="0" xfId="0" applyFont="1" applyFill="1"/>
    <xf numFmtId="0" fontId="5" fillId="2" borderId="0" xfId="0" applyFont="1" applyFill="1" applyAlignment="1">
      <alignment vertical="top"/>
    </xf>
    <xf numFmtId="9" fontId="30" fillId="2" borderId="6" xfId="0" applyNumberFormat="1" applyFont="1" applyFill="1" applyBorder="1"/>
    <xf numFmtId="0" fontId="11" fillId="2" borderId="0" xfId="0" applyFont="1" applyFill="1"/>
    <xf numFmtId="9" fontId="0" fillId="2" borderId="0" xfId="0" applyNumberFormat="1" applyFill="1"/>
    <xf numFmtId="49" fontId="0" fillId="2" borderId="0" xfId="0" applyNumberFormat="1" applyFill="1"/>
    <xf numFmtId="3" fontId="0" fillId="2" borderId="0" xfId="0" applyNumberFormat="1" applyFill="1" applyAlignment="1">
      <alignment horizontal="left"/>
    </xf>
    <xf numFmtId="0" fontId="0" fillId="2" borderId="0" xfId="0" applyFill="1" applyAlignment="1">
      <alignment horizontal="left"/>
    </xf>
    <xf numFmtId="165" fontId="5" fillId="2" borderId="0" xfId="0" applyNumberFormat="1" applyFont="1" applyFill="1"/>
    <xf numFmtId="3" fontId="30" fillId="5" borderId="4" xfId="0" applyNumberFormat="1" applyFont="1" applyFill="1" applyBorder="1"/>
    <xf numFmtId="164" fontId="11" fillId="2" borderId="0" xfId="0" applyNumberFormat="1" applyFont="1" applyFill="1"/>
    <xf numFmtId="49" fontId="8" fillId="2" borderId="0" xfId="0" applyNumberFormat="1" applyFont="1" applyFill="1"/>
    <xf numFmtId="3" fontId="30" fillId="2" borderId="4" xfId="0" applyNumberFormat="1" applyFont="1" applyFill="1" applyBorder="1"/>
    <xf numFmtId="3" fontId="30" fillId="2" borderId="15" xfId="0" applyNumberFormat="1" applyFont="1" applyFill="1" applyBorder="1"/>
    <xf numFmtId="0" fontId="16" fillId="2" borderId="0" xfId="0" applyFont="1" applyFill="1"/>
    <xf numFmtId="49" fontId="30" fillId="2" borderId="0" xfId="0" applyNumberFormat="1" applyFont="1" applyFill="1"/>
    <xf numFmtId="0" fontId="30" fillId="2" borderId="0" xfId="0" applyFont="1" applyFill="1"/>
    <xf numFmtId="3" fontId="30" fillId="2" borderId="0" xfId="0" applyNumberFormat="1" applyFont="1" applyFill="1"/>
    <xf numFmtId="164" fontId="5" fillId="2" borderId="0" xfId="0" applyNumberFormat="1" applyFont="1" applyFill="1" applyAlignment="1">
      <alignment vertical="top" wrapText="1"/>
    </xf>
    <xf numFmtId="9" fontId="5" fillId="2" borderId="0" xfId="0" applyNumberFormat="1" applyFont="1" applyFill="1"/>
    <xf numFmtId="164" fontId="30" fillId="2" borderId="0" xfId="0" applyNumberFormat="1" applyFont="1" applyFill="1"/>
    <xf numFmtId="3" fontId="30" fillId="2" borderId="6" xfId="0" applyNumberFormat="1" applyFont="1" applyFill="1" applyBorder="1"/>
    <xf numFmtId="0" fontId="4" fillId="2" borderId="0" xfId="0" applyFont="1" applyFill="1" applyAlignment="1">
      <alignment vertical="center"/>
    </xf>
    <xf numFmtId="0" fontId="21" fillId="2" borderId="0" xfId="0" applyFont="1" applyFill="1"/>
    <xf numFmtId="166" fontId="5" fillId="2" borderId="0" xfId="0" applyNumberFormat="1" applyFont="1" applyFill="1" applyAlignment="1">
      <alignment horizontal="left"/>
    </xf>
    <xf numFmtId="0" fontId="11" fillId="2" borderId="0" xfId="0" applyFont="1" applyFill="1" applyAlignment="1">
      <alignment horizontal="right"/>
    </xf>
    <xf numFmtId="165" fontId="11" fillId="2" borderId="0" xfId="0" applyNumberFormat="1" applyFont="1" applyFill="1" applyAlignment="1">
      <alignment horizontal="left"/>
    </xf>
    <xf numFmtId="165" fontId="5" fillId="2" borderId="0" xfId="0" applyNumberFormat="1" applyFont="1" applyFill="1" applyAlignment="1">
      <alignment horizontal="right"/>
    </xf>
    <xf numFmtId="3" fontId="5" fillId="2" borderId="0" xfId="0" applyNumberFormat="1" applyFont="1" applyFill="1" applyAlignment="1">
      <alignment horizontal="right"/>
    </xf>
    <xf numFmtId="0" fontId="5" fillId="2" borderId="0" xfId="0" applyFont="1" applyFill="1" applyAlignment="1">
      <alignment horizontal="right"/>
    </xf>
    <xf numFmtId="0" fontId="0" fillId="2" borderId="0" xfId="0" applyFill="1" applyAlignment="1">
      <alignment horizontal="right"/>
    </xf>
    <xf numFmtId="0" fontId="11" fillId="2" borderId="0" xfId="0" applyFont="1" applyFill="1" applyAlignment="1">
      <alignment vertical="top" wrapText="1"/>
    </xf>
    <xf numFmtId="10" fontId="0" fillId="2" borderId="0" xfId="0" applyNumberFormat="1" applyFill="1"/>
    <xf numFmtId="1" fontId="0" fillId="2" borderId="0" xfId="0" applyNumberFormat="1" applyFill="1"/>
    <xf numFmtId="167" fontId="0" fillId="2" borderId="0" xfId="0" applyNumberFormat="1" applyFill="1"/>
    <xf numFmtId="168" fontId="0" fillId="2" borderId="0" xfId="0" applyNumberFormat="1" applyFill="1"/>
    <xf numFmtId="168" fontId="5" fillId="2" borderId="0" xfId="0" applyNumberFormat="1" applyFont="1" applyFill="1"/>
    <xf numFmtId="167" fontId="8" fillId="2" borderId="0" xfId="0" applyNumberFormat="1" applyFont="1" applyFill="1"/>
    <xf numFmtId="1" fontId="5" fillId="2" borderId="0" xfId="0" applyNumberFormat="1" applyFont="1" applyFill="1" applyAlignment="1">
      <alignment horizontal="left"/>
    </xf>
    <xf numFmtId="1" fontId="0" fillId="2" borderId="0" xfId="0" applyNumberFormat="1" applyFill="1" applyAlignment="1">
      <alignment horizontal="left"/>
    </xf>
    <xf numFmtId="0" fontId="27" fillId="2" borderId="0" xfId="0" applyFont="1" applyFill="1" applyAlignment="1">
      <alignment vertical="center"/>
    </xf>
    <xf numFmtId="10" fontId="22" fillId="2" borderId="0" xfId="0" applyNumberFormat="1" applyFont="1" applyFill="1" applyAlignment="1">
      <alignment vertical="center"/>
    </xf>
    <xf numFmtId="0" fontId="28" fillId="2" borderId="0" xfId="0" applyFont="1" applyFill="1" applyAlignment="1">
      <alignment vertical="center"/>
    </xf>
    <xf numFmtId="10" fontId="22" fillId="2" borderId="0" xfId="0" applyNumberFormat="1" applyFont="1" applyFill="1" applyAlignment="1">
      <alignment horizontal="right" vertical="center"/>
    </xf>
    <xf numFmtId="2" fontId="22" fillId="2" borderId="0" xfId="0" applyNumberFormat="1" applyFont="1" applyFill="1" applyAlignment="1">
      <alignment horizontal="right" vertical="center"/>
    </xf>
    <xf numFmtId="0" fontId="5" fillId="2" borderId="0" xfId="0" applyFont="1" applyFill="1" applyAlignment="1">
      <alignment vertical="center"/>
    </xf>
    <xf numFmtId="1" fontId="0" fillId="2" borderId="12" xfId="0" applyNumberFormat="1" applyFill="1" applyBorder="1" applyAlignment="1">
      <alignment horizontal="left"/>
    </xf>
    <xf numFmtId="0" fontId="0" fillId="2" borderId="13" xfId="0" applyFill="1" applyBorder="1" applyAlignment="1">
      <alignment horizontal="left"/>
    </xf>
    <xf numFmtId="3" fontId="0" fillId="2" borderId="13" xfId="0" applyNumberFormat="1" applyFill="1" applyBorder="1" applyAlignment="1">
      <alignment horizontal="left"/>
    </xf>
    <xf numFmtId="3" fontId="5" fillId="2" borderId="14" xfId="0" applyNumberFormat="1" applyFont="1" applyFill="1" applyBorder="1" applyAlignment="1">
      <alignment horizontal="left"/>
    </xf>
    <xf numFmtId="3" fontId="30" fillId="2" borderId="5" xfId="0" applyNumberFormat="1" applyFont="1" applyFill="1" applyBorder="1"/>
    <xf numFmtId="164" fontId="15" fillId="2" borderId="0" xfId="0" applyNumberFormat="1" applyFont="1" applyFill="1"/>
    <xf numFmtId="168" fontId="30" fillId="2" borderId="0" xfId="0" applyNumberFormat="1" applyFont="1" applyFill="1"/>
    <xf numFmtId="0" fontId="30" fillId="2" borderId="0" xfId="0" applyFont="1" applyFill="1" applyAlignment="1">
      <alignment wrapText="1"/>
    </xf>
    <xf numFmtId="0" fontId="11" fillId="2" borderId="0" xfId="0" applyFont="1" applyFill="1" applyAlignment="1">
      <alignment horizontal="left" wrapText="1"/>
    </xf>
    <xf numFmtId="3" fontId="15" fillId="2" borderId="0" xfId="0" applyNumberFormat="1" applyFont="1" applyFill="1" applyAlignment="1">
      <alignment horizontal="right"/>
    </xf>
    <xf numFmtId="167" fontId="30" fillId="2" borderId="0" xfId="0" applyNumberFormat="1" applyFont="1" applyFill="1"/>
    <xf numFmtId="167" fontId="30" fillId="2" borderId="6" xfId="0" applyNumberFormat="1" applyFont="1" applyFill="1" applyBorder="1"/>
    <xf numFmtId="170" fontId="5" fillId="2" borderId="0" xfId="0" applyNumberFormat="1" applyFont="1" applyFill="1"/>
    <xf numFmtId="167" fontId="30" fillId="2" borderId="0" xfId="0" applyNumberFormat="1" applyFont="1" applyFill="1" applyAlignment="1">
      <alignment wrapText="1"/>
    </xf>
    <xf numFmtId="168" fontId="30" fillId="2" borderId="0" xfId="0" applyNumberFormat="1" applyFont="1" applyFill="1" applyAlignment="1">
      <alignment wrapText="1"/>
    </xf>
    <xf numFmtId="3" fontId="11" fillId="2" borderId="0" xfId="0" applyNumberFormat="1" applyFont="1" applyFill="1"/>
    <xf numFmtId="3" fontId="15" fillId="2" borderId="0" xfId="0" applyNumberFormat="1" applyFont="1" applyFill="1"/>
    <xf numFmtId="3" fontId="5" fillId="3" borderId="12" xfId="0" applyNumberFormat="1" applyFont="1" applyFill="1" applyBorder="1"/>
    <xf numFmtId="3" fontId="5" fillId="3" borderId="13" xfId="0" applyNumberFormat="1" applyFont="1" applyFill="1" applyBorder="1"/>
    <xf numFmtId="164" fontId="29" fillId="2" borderId="0" xfId="0" applyNumberFormat="1" applyFont="1" applyFill="1"/>
    <xf numFmtId="0" fontId="32" fillId="2" borderId="0" xfId="0" applyFont="1" applyFill="1"/>
    <xf numFmtId="0" fontId="22" fillId="4" borderId="16" xfId="0" applyFont="1" applyFill="1" applyBorder="1" applyAlignment="1">
      <alignment vertical="center"/>
    </xf>
    <xf numFmtId="0" fontId="26" fillId="4" borderId="17" xfId="0" applyFont="1" applyFill="1" applyBorder="1" applyAlignment="1">
      <alignment vertical="center"/>
    </xf>
    <xf numFmtId="0" fontId="27" fillId="4" borderId="17" xfId="0" applyFont="1" applyFill="1" applyBorder="1" applyAlignment="1">
      <alignment vertical="center"/>
    </xf>
    <xf numFmtId="10" fontId="22" fillId="4" borderId="18" xfId="0" applyNumberFormat="1" applyFont="1" applyFill="1" applyBorder="1" applyAlignment="1">
      <alignment vertical="center"/>
    </xf>
    <xf numFmtId="0" fontId="11" fillId="2" borderId="0" xfId="0" applyFont="1" applyFill="1" applyAlignment="1">
      <alignment vertical="center"/>
    </xf>
    <xf numFmtId="3" fontId="5" fillId="2" borderId="0" xfId="0" applyNumberFormat="1" applyFont="1" applyFill="1" applyAlignment="1">
      <alignment vertical="center"/>
    </xf>
    <xf numFmtId="0" fontId="22" fillId="4" borderId="17" xfId="0" applyFont="1" applyFill="1" applyBorder="1" applyAlignment="1">
      <alignment vertical="center"/>
    </xf>
    <xf numFmtId="10" fontId="22" fillId="4" borderId="18" xfId="0" applyNumberFormat="1" applyFont="1" applyFill="1" applyBorder="1" applyAlignment="1">
      <alignment horizontal="right" vertical="center"/>
    </xf>
    <xf numFmtId="169" fontId="30" fillId="2" borderId="0" xfId="0" applyNumberFormat="1" applyFont="1" applyFill="1"/>
    <xf numFmtId="0" fontId="8" fillId="4" borderId="17" xfId="0" applyFont="1" applyFill="1" applyBorder="1"/>
    <xf numFmtId="0" fontId="0" fillId="4" borderId="17" xfId="0" applyFill="1" applyBorder="1"/>
    <xf numFmtId="2" fontId="22" fillId="4" borderId="18" xfId="0" applyNumberFormat="1" applyFont="1" applyFill="1" applyBorder="1" applyAlignment="1">
      <alignment horizontal="right" vertical="center"/>
    </xf>
    <xf numFmtId="0" fontId="0" fillId="2" borderId="13" xfId="0" applyFill="1" applyBorder="1"/>
    <xf numFmtId="0" fontId="5" fillId="2" borderId="11" xfId="0" applyFont="1" applyFill="1" applyBorder="1"/>
    <xf numFmtId="165" fontId="0" fillId="2" borderId="13" xfId="0" applyNumberFormat="1" applyFill="1" applyBorder="1" applyAlignment="1">
      <alignment horizontal="left"/>
    </xf>
    <xf numFmtId="1" fontId="0" fillId="2" borderId="10" xfId="0" applyNumberFormat="1" applyFill="1" applyBorder="1" applyAlignment="1">
      <alignment horizontal="left"/>
    </xf>
    <xf numFmtId="3" fontId="5" fillId="2" borderId="11" xfId="0" applyNumberFormat="1" applyFont="1" applyFill="1" applyBorder="1" applyAlignment="1">
      <alignment horizontal="left"/>
    </xf>
    <xf numFmtId="0" fontId="75" fillId="2" borderId="0" xfId="3" applyFont="1" applyFill="1" applyAlignment="1">
      <alignment horizontal="left"/>
    </xf>
    <xf numFmtId="178" fontId="49" fillId="0" borderId="6" xfId="8" applyNumberFormat="1" applyFont="1" applyFill="1" applyBorder="1" applyAlignment="1" applyProtection="1">
      <protection locked="0"/>
    </xf>
    <xf numFmtId="3" fontId="5" fillId="2" borderId="10" xfId="0" applyNumberFormat="1" applyFont="1" applyFill="1" applyBorder="1" applyAlignment="1">
      <alignment horizontal="right"/>
    </xf>
    <xf numFmtId="3" fontId="5" fillId="2" borderId="12" xfId="0" applyNumberFormat="1" applyFont="1" applyFill="1" applyBorder="1" applyAlignment="1">
      <alignment horizontal="right"/>
    </xf>
    <xf numFmtId="0" fontId="5" fillId="0" borderId="0" xfId="0" applyFont="1" applyAlignment="1">
      <alignment horizontal="right"/>
    </xf>
    <xf numFmtId="2" fontId="5" fillId="0" borderId="0" xfId="0" applyNumberFormat="1" applyFont="1"/>
    <xf numFmtId="0" fontId="76" fillId="2" borderId="10" xfId="5" applyFont="1" applyFill="1" applyBorder="1"/>
    <xf numFmtId="4" fontId="5" fillId="2" borderId="11" xfId="0" applyNumberFormat="1" applyFont="1" applyFill="1" applyBorder="1" applyAlignment="1">
      <alignment horizontal="right"/>
    </xf>
    <xf numFmtId="3" fontId="5" fillId="2" borderId="11" xfId="0" applyNumberFormat="1" applyFont="1" applyFill="1" applyBorder="1" applyAlignment="1">
      <alignment horizontal="right"/>
    </xf>
    <xf numFmtId="3" fontId="0" fillId="2" borderId="11" xfId="0" applyNumberFormat="1" applyFill="1" applyBorder="1" applyAlignment="1">
      <alignment horizontal="right"/>
    </xf>
    <xf numFmtId="3" fontId="0" fillId="2" borderId="14" xfId="0" applyNumberFormat="1" applyFill="1" applyBorder="1" applyAlignment="1">
      <alignment horizontal="right"/>
    </xf>
    <xf numFmtId="3" fontId="30" fillId="2" borderId="15" xfId="0" applyNumberFormat="1" applyFont="1" applyFill="1" applyBorder="1" applyProtection="1">
      <protection locked="0"/>
    </xf>
    <xf numFmtId="167" fontId="30" fillId="2" borderId="0" xfId="0" applyNumberFormat="1" applyFont="1" applyFill="1" applyProtection="1">
      <protection locked="0"/>
    </xf>
    <xf numFmtId="168" fontId="30" fillId="2" borderId="0" xfId="0" applyNumberFormat="1" applyFont="1" applyFill="1" applyProtection="1">
      <protection locked="0"/>
    </xf>
    <xf numFmtId="0" fontId="8" fillId="2" borderId="0" xfId="3" applyFont="1" applyFill="1"/>
    <xf numFmtId="49" fontId="53" fillId="2" borderId="11" xfId="5" applyNumberFormat="1" applyFont="1" applyFill="1" applyBorder="1" applyAlignment="1" applyProtection="1">
      <alignment horizontal="left" vertical="center"/>
      <protection locked="0"/>
    </xf>
    <xf numFmtId="0" fontId="49" fillId="2" borderId="10" xfId="5" applyFont="1" applyFill="1" applyBorder="1"/>
    <xf numFmtId="9" fontId="53" fillId="2" borderId="11" xfId="6" applyFont="1" applyFill="1" applyBorder="1" applyAlignment="1" applyProtection="1">
      <alignment horizontal="left"/>
    </xf>
    <xf numFmtId="174" fontId="54" fillId="2" borderId="0" xfId="5" applyNumberFormat="1" applyFont="1" applyFill="1"/>
    <xf numFmtId="171" fontId="52" fillId="2" borderId="11" xfId="5" applyNumberFormat="1" applyFont="1" applyFill="1" applyBorder="1"/>
    <xf numFmtId="171" fontId="54" fillId="2" borderId="11" xfId="7" applyNumberFormat="1" applyFont="1" applyFill="1" applyBorder="1" applyAlignment="1" applyProtection="1"/>
    <xf numFmtId="0" fontId="54" fillId="2" borderId="10" xfId="5" applyFont="1" applyFill="1" applyBorder="1"/>
    <xf numFmtId="0" fontId="48" fillId="2" borderId="13" xfId="5" applyFont="1" applyFill="1" applyBorder="1"/>
    <xf numFmtId="0" fontId="54" fillId="2" borderId="13" xfId="5" applyFont="1" applyFill="1" applyBorder="1"/>
    <xf numFmtId="171" fontId="49" fillId="2" borderId="14" xfId="7" applyNumberFormat="1" applyFont="1" applyFill="1" applyBorder="1" applyAlignment="1" applyProtection="1">
      <alignment horizontal="center"/>
    </xf>
    <xf numFmtId="0" fontId="48" fillId="2" borderId="10" xfId="5" applyFont="1" applyFill="1" applyBorder="1" applyAlignment="1">
      <alignment vertical="center"/>
    </xf>
    <xf numFmtId="9" fontId="51" fillId="2" borderId="0" xfId="6" applyFont="1" applyFill="1" applyBorder="1" applyAlignment="1" applyProtection="1">
      <alignment vertical="center"/>
    </xf>
    <xf numFmtId="9" fontId="5" fillId="2" borderId="0" xfId="1" applyFont="1" applyFill="1" applyBorder="1" applyProtection="1"/>
    <xf numFmtId="179" fontId="62" fillId="2" borderId="6" xfId="3" applyNumberFormat="1" applyFont="1" applyFill="1" applyBorder="1"/>
    <xf numFmtId="179" fontId="62" fillId="2" borderId="6" xfId="3" applyNumberFormat="1" applyFont="1" applyFill="1" applyBorder="1" applyAlignment="1">
      <alignment horizontal="right" wrapText="1"/>
    </xf>
    <xf numFmtId="14" fontId="62" fillId="2" borderId="6" xfId="3" applyNumberFormat="1" applyFont="1" applyFill="1" applyBorder="1"/>
    <xf numFmtId="179" fontId="62" fillId="2" borderId="6" xfId="3" applyNumberFormat="1" applyFont="1" applyFill="1" applyBorder="1" applyAlignment="1">
      <alignment horizontal="center" wrapText="1"/>
    </xf>
    <xf numFmtId="4" fontId="53" fillId="2" borderId="1" xfId="5" applyNumberFormat="1" applyFont="1" applyFill="1" applyBorder="1" applyAlignment="1">
      <alignment horizontal="center" vertical="center"/>
    </xf>
    <xf numFmtId="0" fontId="74" fillId="2" borderId="3" xfId="0" applyFont="1" applyFill="1" applyBorder="1" applyAlignment="1">
      <alignment horizontal="center" vertical="center"/>
    </xf>
    <xf numFmtId="4" fontId="53" fillId="2" borderId="3" xfId="5" applyNumberFormat="1" applyFont="1" applyFill="1" applyBorder="1" applyAlignment="1">
      <alignment horizontal="center" vertical="center"/>
    </xf>
    <xf numFmtId="0" fontId="53" fillId="2" borderId="0" xfId="5" applyFont="1" applyFill="1" applyAlignment="1">
      <alignment horizontal="right" vertical="center"/>
    </xf>
    <xf numFmtId="172" fontId="49" fillId="2" borderId="0" xfId="5" applyNumberFormat="1" applyFont="1" applyFill="1" applyAlignment="1">
      <alignment horizontal="left"/>
    </xf>
    <xf numFmtId="9" fontId="53" fillId="2" borderId="11" xfId="5" applyNumberFormat="1" applyFont="1" applyFill="1" applyBorder="1" applyAlignment="1">
      <alignment horizontal="center" vertical="center"/>
    </xf>
    <xf numFmtId="49" fontId="53" fillId="2" borderId="0" xfId="5" applyNumberFormat="1" applyFont="1" applyFill="1" applyAlignment="1" applyProtection="1">
      <alignment horizontal="left" vertical="center"/>
      <protection locked="0"/>
    </xf>
    <xf numFmtId="172" fontId="48" fillId="2" borderId="0" xfId="5" applyNumberFormat="1" applyFont="1" applyFill="1" applyAlignment="1">
      <alignment horizontal="left"/>
    </xf>
    <xf numFmtId="49" fontId="48" fillId="2" borderId="13" xfId="8" applyNumberFormat="1" applyFont="1" applyFill="1" applyBorder="1" applyAlignment="1" applyProtection="1">
      <alignment horizontal="right"/>
    </xf>
    <xf numFmtId="0" fontId="48" fillId="2" borderId="0" xfId="5" applyFont="1" applyFill="1" applyAlignment="1">
      <alignment horizontal="left"/>
    </xf>
    <xf numFmtId="0" fontId="81" fillId="0" borderId="0" xfId="0" applyFont="1"/>
    <xf numFmtId="0" fontId="30" fillId="0" borderId="0" xfId="0" applyFont="1"/>
    <xf numFmtId="171" fontId="48" fillId="2" borderId="11" xfId="5" applyNumberFormat="1" applyFont="1" applyFill="1" applyBorder="1"/>
    <xf numFmtId="172" fontId="82" fillId="2" borderId="11" xfId="5" applyNumberFormat="1" applyFont="1" applyFill="1" applyBorder="1" applyAlignment="1">
      <alignment horizontal="left"/>
    </xf>
    <xf numFmtId="9" fontId="56" fillId="2" borderId="0" xfId="6" applyFont="1" applyFill="1" applyAlignment="1" applyProtection="1"/>
    <xf numFmtId="0" fontId="78" fillId="2" borderId="0" xfId="0" applyFont="1" applyFill="1"/>
    <xf numFmtId="2" fontId="30" fillId="3" borderId="12" xfId="0" applyNumberFormat="1" applyFont="1" applyFill="1" applyBorder="1" applyProtection="1">
      <protection locked="0"/>
    </xf>
    <xf numFmtId="4" fontId="30" fillId="3" borderId="13" xfId="0" applyNumberFormat="1" applyFont="1" applyFill="1" applyBorder="1" applyProtection="1">
      <protection locked="0"/>
    </xf>
    <xf numFmtId="4" fontId="30" fillId="2" borderId="0" xfId="0" applyNumberFormat="1" applyFont="1" applyFill="1" applyProtection="1">
      <protection locked="0"/>
    </xf>
    <xf numFmtId="3" fontId="0" fillId="2" borderId="4" xfId="0" applyNumberFormat="1" applyFill="1" applyBorder="1"/>
    <xf numFmtId="3" fontId="83" fillId="2" borderId="0" xfId="0" applyNumberFormat="1" applyFont="1" applyFill="1"/>
    <xf numFmtId="0" fontId="15" fillId="2" borderId="6" xfId="0" applyFont="1" applyFill="1" applyBorder="1" applyAlignment="1">
      <alignment vertical="center" wrapText="1"/>
    </xf>
    <xf numFmtId="0" fontId="48" fillId="3" borderId="23" xfId="5" applyFont="1" applyFill="1" applyBorder="1" applyAlignment="1" applyProtection="1">
      <alignment horizontal="center"/>
      <protection locked="0"/>
    </xf>
    <xf numFmtId="0" fontId="48" fillId="3" borderId="24" xfId="5" applyFont="1" applyFill="1" applyBorder="1" applyAlignment="1" applyProtection="1">
      <alignment horizontal="center"/>
      <protection locked="0"/>
    </xf>
    <xf numFmtId="0" fontId="22" fillId="2" borderId="0" xfId="3" applyFont="1" applyFill="1" applyAlignment="1">
      <alignment horizontal="left" vertical="center" indent="3"/>
    </xf>
    <xf numFmtId="0" fontId="28" fillId="2" borderId="0" xfId="3" applyFont="1" applyFill="1" applyAlignment="1">
      <alignment horizontal="left" vertical="center" indent="3"/>
    </xf>
    <xf numFmtId="0" fontId="5" fillId="2" borderId="0" xfId="3" applyFont="1" applyFill="1" applyAlignment="1">
      <alignment horizontal="left" vertical="center" indent="3"/>
    </xf>
    <xf numFmtId="0" fontId="28" fillId="2" borderId="0" xfId="4" applyFont="1" applyFill="1" applyAlignment="1" applyProtection="1">
      <alignment horizontal="left" vertical="center" indent="3"/>
    </xf>
    <xf numFmtId="0" fontId="47" fillId="2" borderId="0" xfId="3" applyFont="1" applyFill="1" applyAlignment="1">
      <alignment horizontal="left" vertical="center" indent="3"/>
    </xf>
    <xf numFmtId="0" fontId="22" fillId="2" borderId="0" xfId="3" applyFont="1" applyFill="1" applyAlignment="1">
      <alignment horizontal="left" indent="3"/>
    </xf>
    <xf numFmtId="0" fontId="38" fillId="7" borderId="0" xfId="3" applyFont="1" applyFill="1" applyAlignment="1">
      <alignment horizontal="left" indent="3"/>
    </xf>
    <xf numFmtId="0" fontId="71" fillId="2" borderId="0" xfId="3" applyFont="1" applyFill="1" applyAlignment="1">
      <alignment horizontal="left" indent="3"/>
    </xf>
    <xf numFmtId="0" fontId="40" fillId="2" borderId="0" xfId="3" applyFont="1" applyFill="1" applyAlignment="1">
      <alignment horizontal="left" indent="3"/>
    </xf>
    <xf numFmtId="0" fontId="28" fillId="2" borderId="0" xfId="3" applyFont="1" applyFill="1" applyAlignment="1">
      <alignment horizontal="left" indent="3"/>
    </xf>
    <xf numFmtId="0" fontId="38" fillId="2" borderId="0" xfId="3" applyFont="1" applyFill="1" applyAlignment="1">
      <alignment horizontal="left" indent="3"/>
    </xf>
    <xf numFmtId="0" fontId="22" fillId="2" borderId="0" xfId="5" applyFont="1" applyFill="1" applyAlignment="1">
      <alignment horizontal="left" indent="3"/>
    </xf>
    <xf numFmtId="0" fontId="28" fillId="2" borderId="0" xfId="5" applyFont="1" applyFill="1" applyAlignment="1">
      <alignment horizontal="left" indent="3"/>
    </xf>
    <xf numFmtId="0" fontId="39" fillId="2" borderId="0" xfId="3" applyFont="1" applyFill="1" applyAlignment="1">
      <alignment horizontal="left" indent="3"/>
    </xf>
    <xf numFmtId="0" fontId="44" fillId="7" borderId="0" xfId="3" applyFont="1" applyFill="1" applyAlignment="1">
      <alignment horizontal="left" indent="3"/>
    </xf>
    <xf numFmtId="0" fontId="46" fillId="2" borderId="0" xfId="3" applyFont="1" applyFill="1" applyAlignment="1">
      <alignment horizontal="left" indent="3"/>
    </xf>
    <xf numFmtId="0" fontId="5" fillId="2" borderId="0" xfId="3" applyFont="1" applyFill="1" applyAlignment="1">
      <alignment horizontal="left" indent="3"/>
    </xf>
    <xf numFmtId="0" fontId="84" fillId="2" borderId="0" xfId="3" applyFont="1" applyFill="1" applyAlignment="1">
      <alignment horizontal="left" indent="3"/>
    </xf>
    <xf numFmtId="0" fontId="0" fillId="2" borderId="0" xfId="0" applyFill="1" applyAlignment="1">
      <alignment horizontal="left" vertical="top" wrapText="1" indent="3"/>
    </xf>
    <xf numFmtId="0" fontId="3" fillId="2" borderId="0" xfId="0" applyFont="1" applyFill="1" applyAlignment="1">
      <alignment horizontal="left" vertical="top" wrapText="1" indent="3"/>
    </xf>
    <xf numFmtId="49" fontId="4" fillId="2" borderId="0" xfId="0" applyNumberFormat="1" applyFont="1" applyFill="1" applyAlignment="1">
      <alignment horizontal="left" vertical="center" wrapText="1" indent="3"/>
    </xf>
    <xf numFmtId="0" fontId="4" fillId="2" borderId="0" xfId="0" applyFont="1" applyFill="1" applyAlignment="1">
      <alignment horizontal="left" vertical="center" wrapText="1" indent="3"/>
    </xf>
    <xf numFmtId="0" fontId="5" fillId="2" borderId="0" xfId="0" applyFont="1" applyFill="1" applyAlignment="1">
      <alignment horizontal="left" vertical="top" wrapText="1" indent="3"/>
    </xf>
    <xf numFmtId="0" fontId="8" fillId="2" borderId="0" xfId="0" applyFont="1" applyFill="1" applyAlignment="1">
      <alignment horizontal="left" vertical="top" wrapText="1" indent="3"/>
    </xf>
    <xf numFmtId="0" fontId="5" fillId="2" borderId="0" xfId="0" applyFont="1" applyFill="1" applyAlignment="1">
      <alignment horizontal="left" indent="3"/>
    </xf>
    <xf numFmtId="0" fontId="10" fillId="2" borderId="0" xfId="0" applyFont="1" applyFill="1" applyAlignment="1">
      <alignment horizontal="left" vertical="top" wrapText="1" indent="3"/>
    </xf>
    <xf numFmtId="0" fontId="4" fillId="2" borderId="0" xfId="0" applyFont="1" applyFill="1" applyAlignment="1">
      <alignment horizontal="left" vertical="top" wrapText="1" indent="3"/>
    </xf>
    <xf numFmtId="0" fontId="11" fillId="2" borderId="0" xfId="0" applyFont="1" applyFill="1" applyAlignment="1">
      <alignment horizontal="left" vertical="top" wrapText="1" indent="3"/>
    </xf>
    <xf numFmtId="49" fontId="85" fillId="2" borderId="0" xfId="2" quotePrefix="1" applyNumberFormat="1" applyFont="1" applyFill="1" applyAlignment="1">
      <alignment horizontal="left" wrapText="1" indent="3"/>
    </xf>
    <xf numFmtId="0" fontId="57" fillId="2" borderId="0" xfId="5" applyFont="1" applyFill="1"/>
    <xf numFmtId="0" fontId="56" fillId="2" borderId="0" xfId="5" applyFont="1" applyFill="1"/>
    <xf numFmtId="0" fontId="78" fillId="0" borderId="0" xfId="0" applyFont="1"/>
    <xf numFmtId="0" fontId="48" fillId="2" borderId="10" xfId="5" applyFont="1" applyFill="1" applyBorder="1" applyAlignment="1">
      <alignment horizontal="left" vertical="center"/>
    </xf>
    <xf numFmtId="0" fontId="0" fillId="2" borderId="0" xfId="0" applyFill="1" applyAlignment="1">
      <alignment horizontal="left" vertical="center"/>
    </xf>
    <xf numFmtId="0" fontId="0" fillId="2" borderId="11" xfId="0" applyFill="1" applyBorder="1" applyAlignment="1">
      <alignment horizontal="left" vertical="center"/>
    </xf>
    <xf numFmtId="0" fontId="42" fillId="2" borderId="0" xfId="4" applyFont="1" applyFill="1" applyAlignment="1" applyProtection="1"/>
    <xf numFmtId="0" fontId="28" fillId="3" borderId="7" xfId="3" applyFont="1" applyFill="1" applyBorder="1" applyAlignment="1" applyProtection="1">
      <alignment horizontal="left" vertical="top" wrapText="1"/>
      <protection locked="0"/>
    </xf>
    <xf numFmtId="0" fontId="28" fillId="3" borderId="8" xfId="3" applyFont="1" applyFill="1" applyBorder="1" applyAlignment="1" applyProtection="1">
      <alignment horizontal="left" vertical="top" wrapText="1"/>
      <protection locked="0"/>
    </xf>
    <xf numFmtId="0" fontId="28" fillId="3" borderId="9" xfId="3" applyFont="1" applyFill="1" applyBorder="1" applyAlignment="1" applyProtection="1">
      <alignment horizontal="left" vertical="top" wrapText="1"/>
      <protection locked="0"/>
    </xf>
    <xf numFmtId="0" fontId="28" fillId="3" borderId="10" xfId="3" applyFont="1" applyFill="1" applyBorder="1" applyAlignment="1" applyProtection="1">
      <alignment horizontal="left" vertical="top" wrapText="1"/>
      <protection locked="0"/>
    </xf>
    <xf numFmtId="0" fontId="28" fillId="3" borderId="0" xfId="3" applyFont="1" applyFill="1" applyAlignment="1" applyProtection="1">
      <alignment horizontal="left" vertical="top" wrapText="1"/>
      <protection locked="0"/>
    </xf>
    <xf numFmtId="0" fontId="28" fillId="3" borderId="11" xfId="3" applyFont="1" applyFill="1" applyBorder="1" applyAlignment="1" applyProtection="1">
      <alignment horizontal="left" vertical="top" wrapText="1"/>
      <protection locked="0"/>
    </xf>
    <xf numFmtId="0" fontId="28" fillId="3" borderId="12" xfId="3" applyFont="1" applyFill="1" applyBorder="1" applyAlignment="1" applyProtection="1">
      <alignment horizontal="left" vertical="top" wrapText="1"/>
      <protection locked="0"/>
    </xf>
    <xf numFmtId="0" fontId="28" fillId="3" borderId="13" xfId="3" applyFont="1" applyFill="1" applyBorder="1" applyAlignment="1" applyProtection="1">
      <alignment horizontal="left" vertical="top" wrapText="1"/>
      <protection locked="0"/>
    </xf>
    <xf numFmtId="0" fontId="28" fillId="3" borderId="14" xfId="3" applyFont="1" applyFill="1" applyBorder="1" applyAlignment="1" applyProtection="1">
      <alignment horizontal="left" vertical="top" wrapText="1"/>
      <protection locked="0"/>
    </xf>
    <xf numFmtId="0" fontId="48" fillId="3" borderId="25" xfId="5" applyFont="1" applyFill="1" applyBorder="1" applyAlignment="1" applyProtection="1">
      <alignment horizontal="left"/>
      <protection locked="0"/>
    </xf>
    <xf numFmtId="0" fontId="48" fillId="3" borderId="20" xfId="5" applyFont="1" applyFill="1" applyBorder="1" applyAlignment="1" applyProtection="1">
      <alignment horizontal="left"/>
      <protection locked="0"/>
    </xf>
    <xf numFmtId="0" fontId="48" fillId="3" borderId="26" xfId="5" applyFont="1" applyFill="1" applyBorder="1" applyAlignment="1" applyProtection="1">
      <alignment horizontal="left"/>
      <protection locked="0"/>
    </xf>
    <xf numFmtId="0" fontId="48" fillId="3" borderId="27" xfId="5" applyFont="1" applyFill="1" applyBorder="1" applyAlignment="1" applyProtection="1">
      <alignment horizontal="left"/>
      <protection locked="0"/>
    </xf>
    <xf numFmtId="0" fontId="48" fillId="3" borderId="26" xfId="5" applyFont="1" applyFill="1" applyBorder="1" applyAlignment="1" applyProtection="1">
      <alignment horizontal="center"/>
      <protection locked="0"/>
    </xf>
    <xf numFmtId="0" fontId="48" fillId="3" borderId="27" xfId="5" applyFont="1" applyFill="1" applyBorder="1" applyAlignment="1" applyProtection="1">
      <alignment horizontal="center"/>
      <protection locked="0"/>
    </xf>
    <xf numFmtId="0" fontId="50" fillId="3" borderId="25" xfId="5" applyFont="1" applyFill="1" applyBorder="1" applyAlignment="1" applyProtection="1">
      <alignment horizontal="left"/>
      <protection locked="0"/>
    </xf>
    <xf numFmtId="0" fontId="50" fillId="3" borderId="20" xfId="5" applyFont="1" applyFill="1" applyBorder="1" applyAlignment="1" applyProtection="1">
      <alignment horizontal="left"/>
      <protection locked="0"/>
    </xf>
    <xf numFmtId="0" fontId="50" fillId="3" borderId="23" xfId="5" applyFont="1" applyFill="1" applyBorder="1" applyAlignment="1" applyProtection="1">
      <alignment horizontal="left"/>
      <protection locked="0"/>
    </xf>
    <xf numFmtId="0" fontId="50" fillId="3" borderId="24" xfId="5" applyFont="1" applyFill="1" applyBorder="1" applyAlignment="1" applyProtection="1">
      <alignment horizontal="left"/>
      <protection locked="0"/>
    </xf>
    <xf numFmtId="4" fontId="53" fillId="2" borderId="1" xfId="5" applyNumberFormat="1" applyFont="1" applyFill="1" applyBorder="1" applyAlignment="1">
      <alignment horizontal="center" vertical="center"/>
    </xf>
    <xf numFmtId="0" fontId="0" fillId="0" borderId="3" xfId="0" applyBorder="1" applyAlignment="1">
      <alignment horizontal="center" vertical="center"/>
    </xf>
    <xf numFmtId="0" fontId="48" fillId="3" borderId="23" xfId="5" applyFont="1" applyFill="1" applyBorder="1" applyAlignment="1" applyProtection="1">
      <alignment horizontal="left"/>
      <protection locked="0"/>
    </xf>
    <xf numFmtId="0" fontId="48" fillId="3" borderId="24" xfId="5" applyFont="1" applyFill="1" applyBorder="1" applyAlignment="1" applyProtection="1">
      <alignment horizontal="left"/>
      <protection locked="0"/>
    </xf>
    <xf numFmtId="4" fontId="53" fillId="3" borderId="1" xfId="5" applyNumberFormat="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170" fontId="53" fillId="2" borderId="1" xfId="5" applyNumberFormat="1" applyFont="1" applyFill="1" applyBorder="1" applyAlignment="1">
      <alignment horizontal="center" vertical="center"/>
    </xf>
    <xf numFmtId="170" fontId="0" fillId="2" borderId="3" xfId="0" applyNumberFormat="1" applyFill="1" applyBorder="1" applyAlignment="1">
      <alignment horizontal="center" vertical="center"/>
    </xf>
    <xf numFmtId="1" fontId="53" fillId="3" borderId="1" xfId="5" applyNumberFormat="1"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173" fontId="53" fillId="3" borderId="1" xfId="5" applyNumberFormat="1" applyFont="1" applyFill="1" applyBorder="1" applyAlignment="1" applyProtection="1">
      <alignment horizontal="center" vertical="center"/>
      <protection locked="0"/>
    </xf>
    <xf numFmtId="173" fontId="53" fillId="3" borderId="3" xfId="5" applyNumberFormat="1" applyFont="1" applyFill="1" applyBorder="1" applyAlignment="1" applyProtection="1">
      <alignment horizontal="center" vertical="center"/>
      <protection locked="0"/>
    </xf>
    <xf numFmtId="3" fontId="53" fillId="2" borderId="1" xfId="5" applyNumberFormat="1" applyFont="1" applyFill="1" applyBorder="1" applyAlignment="1">
      <alignment horizontal="center" vertical="center"/>
    </xf>
    <xf numFmtId="3" fontId="0" fillId="2" borderId="3" xfId="0" applyNumberFormat="1" applyFill="1" applyBorder="1" applyAlignment="1">
      <alignment horizontal="center" vertical="center"/>
    </xf>
    <xf numFmtId="170" fontId="53" fillId="3" borderId="1" xfId="5" applyNumberFormat="1" applyFont="1" applyFill="1" applyBorder="1" applyAlignment="1" applyProtection="1">
      <alignment horizontal="center" vertical="center"/>
      <protection locked="0"/>
    </xf>
    <xf numFmtId="170" fontId="0" fillId="3" borderId="3" xfId="0" applyNumberFormat="1" applyFill="1" applyBorder="1" applyAlignment="1" applyProtection="1">
      <alignment horizontal="center" vertical="center"/>
      <protection locked="0"/>
    </xf>
    <xf numFmtId="1" fontId="0" fillId="3" borderId="3" xfId="0" applyNumberFormat="1" applyFill="1" applyBorder="1" applyAlignment="1" applyProtection="1">
      <alignment horizontal="center" vertical="center"/>
      <protection locked="0"/>
    </xf>
    <xf numFmtId="3" fontId="0" fillId="0" borderId="3" xfId="0" applyNumberFormat="1" applyBorder="1" applyAlignment="1">
      <alignment horizontal="center" vertical="center"/>
    </xf>
    <xf numFmtId="4" fontId="53" fillId="0" borderId="1" xfId="5" applyNumberFormat="1" applyFont="1" applyBorder="1" applyAlignment="1" applyProtection="1">
      <alignment horizontal="center" vertical="center"/>
      <protection locked="0"/>
    </xf>
    <xf numFmtId="0" fontId="74" fillId="0" borderId="3" xfId="0" applyFont="1" applyBorder="1" applyAlignment="1" applyProtection="1">
      <alignment horizontal="center" vertical="center"/>
      <protection locked="0"/>
    </xf>
    <xf numFmtId="0" fontId="74" fillId="2" borderId="3" xfId="0" applyFont="1" applyFill="1" applyBorder="1" applyAlignment="1">
      <alignment horizontal="center" vertical="center"/>
    </xf>
    <xf numFmtId="4" fontId="53" fillId="2" borderId="3" xfId="5" applyNumberFormat="1" applyFont="1" applyFill="1" applyBorder="1" applyAlignment="1">
      <alignment horizontal="center" vertical="center"/>
    </xf>
    <xf numFmtId="0" fontId="53" fillId="3" borderId="1" xfId="5" applyFont="1" applyFill="1" applyBorder="1" applyAlignment="1" applyProtection="1">
      <alignment horizontal="left"/>
      <protection locked="0"/>
    </xf>
    <xf numFmtId="0" fontId="77" fillId="3" borderId="3" xfId="0" applyFont="1" applyFill="1" applyBorder="1" applyAlignment="1" applyProtection="1">
      <alignment horizontal="left"/>
      <protection locked="0"/>
    </xf>
    <xf numFmtId="172" fontId="53" fillId="3" borderId="1" xfId="5" applyNumberFormat="1" applyFont="1" applyFill="1" applyBorder="1" applyAlignment="1" applyProtection="1">
      <alignment horizontal="left" vertical="center" wrapText="1"/>
      <protection locked="0"/>
    </xf>
    <xf numFmtId="172" fontId="53" fillId="3" borderId="2" xfId="5" applyNumberFormat="1" applyFont="1" applyFill="1" applyBorder="1" applyAlignment="1" applyProtection="1">
      <alignment horizontal="left" vertical="center" wrapText="1"/>
      <protection locked="0"/>
    </xf>
    <xf numFmtId="172" fontId="53" fillId="3" borderId="3" xfId="5" applyNumberFormat="1" applyFont="1" applyFill="1" applyBorder="1" applyAlignment="1" applyProtection="1">
      <alignment horizontal="left" vertical="center" wrapText="1"/>
      <protection locked="0"/>
    </xf>
    <xf numFmtId="4" fontId="53" fillId="3" borderId="3" xfId="5" applyNumberFormat="1" applyFont="1" applyFill="1" applyBorder="1" applyAlignment="1" applyProtection="1">
      <alignment horizontal="center" vertical="center"/>
      <protection locked="0"/>
    </xf>
    <xf numFmtId="49" fontId="53" fillId="3" borderId="6" xfId="5" applyNumberFormat="1" applyFont="1" applyFill="1" applyBorder="1" applyAlignment="1" applyProtection="1">
      <alignment horizontal="left" vertical="center"/>
      <protection locked="0"/>
    </xf>
    <xf numFmtId="49" fontId="53" fillId="2" borderId="1" xfId="5" applyNumberFormat="1" applyFont="1" applyFill="1" applyBorder="1" applyAlignment="1" applyProtection="1">
      <alignment horizontal="center" vertical="center"/>
      <protection locked="0"/>
    </xf>
    <xf numFmtId="49" fontId="53" fillId="2" borderId="3" xfId="5" applyNumberFormat="1" applyFont="1" applyFill="1" applyBorder="1" applyAlignment="1" applyProtection="1">
      <alignment horizontal="center" vertical="center"/>
      <protection locked="0"/>
    </xf>
    <xf numFmtId="49" fontId="53" fillId="3" borderId="1" xfId="5" applyNumberFormat="1" applyFont="1" applyFill="1" applyBorder="1" applyAlignment="1" applyProtection="1">
      <alignment horizontal="left" vertical="center"/>
      <protection locked="0"/>
    </xf>
    <xf numFmtId="49" fontId="53" fillId="3" borderId="2" xfId="5" applyNumberFormat="1" applyFont="1" applyFill="1" applyBorder="1" applyAlignment="1" applyProtection="1">
      <alignment horizontal="left" vertical="center"/>
      <protection locked="0"/>
    </xf>
    <xf numFmtId="49" fontId="53" fillId="3" borderId="3" xfId="5" applyNumberFormat="1" applyFont="1" applyFill="1" applyBorder="1" applyAlignment="1" applyProtection="1">
      <alignment horizontal="left" vertical="center"/>
      <protection locked="0"/>
    </xf>
    <xf numFmtId="9" fontId="53" fillId="3" borderId="1" xfId="1" applyFont="1" applyFill="1" applyBorder="1" applyAlignment="1" applyProtection="1">
      <alignment horizontal="center" vertical="center"/>
      <protection locked="0"/>
    </xf>
    <xf numFmtId="9" fontId="53" fillId="3" borderId="3" xfId="1" applyFont="1" applyFill="1" applyBorder="1" applyAlignment="1" applyProtection="1">
      <alignment horizontal="center" vertical="center"/>
      <protection locked="0"/>
    </xf>
    <xf numFmtId="49" fontId="53" fillId="2" borderId="2" xfId="5" applyNumberFormat="1" applyFont="1" applyFill="1" applyBorder="1" applyAlignment="1" applyProtection="1">
      <alignment horizontal="left" vertical="center"/>
      <protection locked="0"/>
    </xf>
    <xf numFmtId="0" fontId="0" fillId="0" borderId="2" xfId="0" applyBorder="1" applyAlignment="1">
      <alignment horizontal="left" vertical="center"/>
    </xf>
    <xf numFmtId="49" fontId="53" fillId="3" borderId="1" xfId="5"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 fillId="3" borderId="7" xfId="3" applyFont="1" applyFill="1" applyBorder="1" applyAlignment="1" applyProtection="1">
      <alignment horizontal="left" vertical="top" wrapText="1"/>
      <protection locked="0"/>
    </xf>
    <xf numFmtId="0" fontId="5" fillId="3" borderId="8" xfId="3" applyFont="1" applyFill="1" applyBorder="1" applyAlignment="1" applyProtection="1">
      <alignment horizontal="left" vertical="top" wrapText="1"/>
      <protection locked="0"/>
    </xf>
    <xf numFmtId="0" fontId="5" fillId="3" borderId="9" xfId="3" applyFont="1" applyFill="1" applyBorder="1" applyAlignment="1" applyProtection="1">
      <alignment horizontal="left" vertical="top" wrapText="1"/>
      <protection locked="0"/>
    </xf>
    <xf numFmtId="0" fontId="5" fillId="3" borderId="10" xfId="3" applyFont="1" applyFill="1" applyBorder="1" applyAlignment="1" applyProtection="1">
      <alignment horizontal="left" vertical="top" wrapText="1"/>
      <protection locked="0"/>
    </xf>
    <xf numFmtId="0" fontId="5" fillId="3" borderId="0" xfId="3" applyFont="1" applyFill="1" applyAlignment="1" applyProtection="1">
      <alignment horizontal="left" vertical="top" wrapText="1"/>
      <protection locked="0"/>
    </xf>
    <xf numFmtId="0" fontId="5" fillId="3" borderId="11" xfId="3" applyFont="1" applyFill="1" applyBorder="1" applyAlignment="1" applyProtection="1">
      <alignment horizontal="left" vertical="top" wrapText="1"/>
      <protection locked="0"/>
    </xf>
    <xf numFmtId="0" fontId="5" fillId="3" borderId="12" xfId="3" applyFont="1" applyFill="1" applyBorder="1" applyAlignment="1" applyProtection="1">
      <alignment horizontal="left" vertical="top" wrapText="1"/>
      <protection locked="0"/>
    </xf>
    <xf numFmtId="0" fontId="5" fillId="3" borderId="13" xfId="3" applyFont="1" applyFill="1" applyBorder="1" applyAlignment="1" applyProtection="1">
      <alignment horizontal="left" vertical="top" wrapText="1"/>
      <protection locked="0"/>
    </xf>
    <xf numFmtId="0" fontId="5" fillId="3" borderId="14" xfId="3" applyFont="1" applyFill="1" applyBorder="1" applyAlignment="1" applyProtection="1">
      <alignment horizontal="left" vertical="top" wrapText="1"/>
      <protection locked="0"/>
    </xf>
    <xf numFmtId="0" fontId="53" fillId="2" borderId="0" xfId="3" applyFont="1" applyFill="1" applyAlignment="1">
      <alignment horizontal="left"/>
    </xf>
    <xf numFmtId="0" fontId="0" fillId="0" borderId="0" xfId="0" applyAlignment="1">
      <alignment horizontal="left"/>
    </xf>
    <xf numFmtId="0" fontId="5" fillId="3" borderId="1"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5" fillId="3" borderId="12" xfId="0" applyFont="1" applyFill="1" applyBorder="1" applyProtection="1">
      <protection locked="0"/>
    </xf>
    <xf numFmtId="0" fontId="30" fillId="3" borderId="13" xfId="0" applyFont="1" applyFill="1" applyBorder="1" applyProtection="1">
      <protection locked="0"/>
    </xf>
    <xf numFmtId="0" fontId="30" fillId="3" borderId="14" xfId="0" applyFont="1" applyFill="1" applyBorder="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5" fillId="3" borderId="9" xfId="0" applyFont="1" applyFill="1" applyBorder="1" applyProtection="1">
      <protection locked="0"/>
    </xf>
    <xf numFmtId="0" fontId="5" fillId="3" borderId="10" xfId="0" applyFont="1" applyFill="1" applyBorder="1" applyProtection="1">
      <protection locked="0"/>
    </xf>
    <xf numFmtId="0" fontId="5" fillId="3" borderId="0" xfId="0" applyFont="1" applyFill="1" applyProtection="1">
      <protection locked="0"/>
    </xf>
    <xf numFmtId="0" fontId="5" fillId="3" borderId="11" xfId="0" applyFont="1" applyFill="1" applyBorder="1" applyProtection="1">
      <protection locked="0"/>
    </xf>
    <xf numFmtId="0" fontId="30" fillId="3" borderId="0" xfId="0" applyFont="1" applyFill="1" applyProtection="1">
      <protection locked="0"/>
    </xf>
    <xf numFmtId="0" fontId="30" fillId="3" borderId="11" xfId="0" applyFont="1" applyFill="1" applyBorder="1" applyProtection="1">
      <protection locked="0"/>
    </xf>
    <xf numFmtId="0" fontId="30" fillId="3" borderId="8" xfId="0" applyFont="1" applyFill="1" applyBorder="1" applyProtection="1">
      <protection locked="0"/>
    </xf>
    <xf numFmtId="0" fontId="30" fillId="3" borderId="9" xfId="0" applyFont="1" applyFill="1" applyBorder="1" applyProtection="1">
      <protection locked="0"/>
    </xf>
    <xf numFmtId="49" fontId="5" fillId="3" borderId="10" xfId="0" applyNumberFormat="1" applyFont="1" applyFill="1" applyBorder="1" applyProtection="1">
      <protection locked="0"/>
    </xf>
    <xf numFmtId="49" fontId="0" fillId="3" borderId="0" xfId="0" applyNumberFormat="1" applyFill="1" applyProtection="1">
      <protection locked="0"/>
    </xf>
    <xf numFmtId="49" fontId="0" fillId="3" borderId="11" xfId="0" applyNumberFormat="1" applyFill="1" applyBorder="1" applyProtection="1">
      <protection locked="0"/>
    </xf>
    <xf numFmtId="49" fontId="5" fillId="3" borderId="12" xfId="0" applyNumberFormat="1" applyFont="1" applyFill="1" applyBorder="1" applyProtection="1">
      <protection locked="0"/>
    </xf>
    <xf numFmtId="49" fontId="0" fillId="3" borderId="13" xfId="0" applyNumberFormat="1" applyFill="1" applyBorder="1" applyProtection="1">
      <protection locked="0"/>
    </xf>
    <xf numFmtId="49" fontId="0" fillId="3" borderId="14" xfId="0" applyNumberFormat="1" applyFill="1" applyBorder="1" applyProtection="1">
      <protection locked="0"/>
    </xf>
    <xf numFmtId="0" fontId="4" fillId="2" borderId="0" xfId="0" applyFont="1" applyFill="1"/>
    <xf numFmtId="0" fontId="0" fillId="2" borderId="0" xfId="0" applyFill="1"/>
    <xf numFmtId="0" fontId="5" fillId="2" borderId="1" xfId="0" applyFont="1" applyFill="1" applyBorder="1"/>
    <xf numFmtId="0" fontId="5" fillId="2" borderId="2" xfId="0" applyFont="1" applyFill="1" applyBorder="1"/>
    <xf numFmtId="0" fontId="5" fillId="2" borderId="3" xfId="0" applyFont="1" applyFill="1" applyBorder="1"/>
    <xf numFmtId="3" fontId="5" fillId="3" borderId="1" xfId="0" applyNumberFormat="1" applyFont="1" applyFill="1" applyBorder="1" applyAlignment="1" applyProtection="1">
      <alignment horizontal="left" vertical="top" wrapText="1"/>
      <protection locked="0"/>
    </xf>
    <xf numFmtId="0" fontId="0" fillId="3" borderId="2" xfId="0" applyFill="1" applyBorder="1" applyAlignment="1" applyProtection="1">
      <alignment vertical="top" wrapText="1"/>
      <protection locked="0"/>
    </xf>
    <xf numFmtId="0" fontId="0" fillId="3" borderId="3" xfId="0" applyFill="1" applyBorder="1" applyAlignment="1" applyProtection="1">
      <alignment vertical="top" wrapText="1"/>
      <protection locked="0"/>
    </xf>
    <xf numFmtId="49" fontId="5" fillId="3" borderId="1" xfId="0" applyNumberFormat="1" applyFont="1" applyFill="1" applyBorder="1" applyAlignment="1" applyProtection="1">
      <alignment vertical="top" wrapText="1"/>
      <protection locked="0"/>
    </xf>
    <xf numFmtId="49" fontId="5" fillId="3" borderId="2" xfId="0" applyNumberFormat="1" applyFont="1" applyFill="1" applyBorder="1" applyAlignment="1" applyProtection="1">
      <alignment vertical="top" wrapText="1"/>
      <protection locked="0"/>
    </xf>
    <xf numFmtId="0" fontId="0" fillId="3" borderId="2" xfId="0" applyFill="1" applyBorder="1" applyProtection="1">
      <protection locked="0"/>
    </xf>
    <xf numFmtId="0" fontId="0" fillId="3" borderId="3" xfId="0" applyFill="1" applyBorder="1" applyProtection="1">
      <protection locked="0"/>
    </xf>
    <xf numFmtId="0" fontId="5" fillId="3" borderId="7" xfId="0" applyFont="1" applyFill="1" applyBorder="1"/>
    <xf numFmtId="0" fontId="5" fillId="3" borderId="8" xfId="0" applyFont="1" applyFill="1" applyBorder="1"/>
    <xf numFmtId="0" fontId="5" fillId="3" borderId="9" xfId="0" applyFont="1" applyFill="1" applyBorder="1"/>
    <xf numFmtId="0" fontId="30" fillId="2" borderId="1" xfId="0" applyFont="1" applyFill="1" applyBorder="1" applyAlignment="1">
      <alignment vertical="top" wrapText="1"/>
    </xf>
    <xf numFmtId="0" fontId="30" fillId="2" borderId="2" xfId="0" applyFont="1" applyFill="1" applyBorder="1" applyAlignment="1">
      <alignment vertical="top" wrapText="1"/>
    </xf>
    <xf numFmtId="0" fontId="30" fillId="2" borderId="3" xfId="0" applyFont="1" applyFill="1" applyBorder="1" applyAlignment="1">
      <alignment vertical="top" wrapText="1"/>
    </xf>
    <xf numFmtId="3" fontId="5" fillId="2" borderId="10" xfId="0" applyNumberFormat="1" applyFont="1" applyFill="1" applyBorder="1" applyAlignment="1">
      <alignment horizontal="right"/>
    </xf>
    <xf numFmtId="0" fontId="0" fillId="2" borderId="11" xfId="0" applyFill="1" applyBorder="1" applyAlignment="1">
      <alignment horizontal="right"/>
    </xf>
    <xf numFmtId="0" fontId="5" fillId="2" borderId="11" xfId="0" applyFont="1" applyFill="1" applyBorder="1" applyAlignment="1">
      <alignment horizontal="right"/>
    </xf>
    <xf numFmtId="3" fontId="16" fillId="2" borderId="10" xfId="0" applyNumberFormat="1" applyFont="1" applyFill="1" applyBorder="1" applyAlignment="1">
      <alignment horizontal="right"/>
    </xf>
    <xf numFmtId="0" fontId="78" fillId="2" borderId="11" xfId="0" applyFont="1" applyFill="1" applyBorder="1" applyAlignment="1">
      <alignment horizontal="right"/>
    </xf>
    <xf numFmtId="3" fontId="5" fillId="2" borderId="12" xfId="0" applyNumberFormat="1" applyFont="1" applyFill="1" applyBorder="1" applyAlignment="1">
      <alignment horizontal="right"/>
    </xf>
    <xf numFmtId="0" fontId="5" fillId="2" borderId="14" xfId="0" applyFont="1" applyFill="1" applyBorder="1" applyAlignment="1">
      <alignment horizontal="right"/>
    </xf>
    <xf numFmtId="3" fontId="16" fillId="2" borderId="7" xfId="0" applyNumberFormat="1" applyFont="1" applyFill="1" applyBorder="1" applyAlignment="1">
      <alignment horizontal="right"/>
    </xf>
    <xf numFmtId="0" fontId="78" fillId="2" borderId="9" xfId="0" applyFont="1" applyFill="1" applyBorder="1" applyAlignment="1">
      <alignment horizontal="right"/>
    </xf>
    <xf numFmtId="3" fontId="8" fillId="2" borderId="0" xfId="0" applyNumberFormat="1" applyFont="1" applyFill="1" applyAlignment="1">
      <alignment horizontal="right"/>
    </xf>
    <xf numFmtId="0" fontId="5" fillId="2" borderId="1"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165" fontId="5" fillId="2" borderId="10" xfId="0" applyNumberFormat="1" applyFont="1" applyFill="1" applyBorder="1" applyAlignment="1">
      <alignment horizontal="right"/>
    </xf>
    <xf numFmtId="165" fontId="0" fillId="2" borderId="11" xfId="0" applyNumberFormat="1" applyFill="1" applyBorder="1" applyAlignment="1">
      <alignment horizontal="right"/>
    </xf>
    <xf numFmtId="0" fontId="69" fillId="2" borderId="10" xfId="0" applyFont="1" applyFill="1" applyBorder="1" applyAlignment="1">
      <alignment horizontal="left" vertical="center"/>
    </xf>
    <xf numFmtId="0" fontId="70" fillId="0" borderId="10" xfId="0" applyFont="1" applyBorder="1" applyAlignment="1">
      <alignment horizontal="left" vertical="center"/>
    </xf>
    <xf numFmtId="3" fontId="5" fillId="2" borderId="7" xfId="0" applyNumberFormat="1" applyFont="1" applyFill="1" applyBorder="1" applyAlignment="1">
      <alignment horizontal="right"/>
    </xf>
    <xf numFmtId="0" fontId="0" fillId="2" borderId="9" xfId="0" applyFill="1" applyBorder="1" applyAlignment="1">
      <alignment horizontal="right"/>
    </xf>
    <xf numFmtId="0" fontId="5" fillId="3" borderId="7" xfId="0" applyFont="1" applyFill="1" applyBorder="1" applyAlignment="1" applyProtection="1">
      <alignment vertical="top"/>
      <protection locked="0"/>
    </xf>
    <xf numFmtId="0" fontId="5" fillId="3" borderId="8" xfId="0" applyFont="1" applyFill="1" applyBorder="1" applyAlignment="1" applyProtection="1">
      <alignment vertical="top"/>
      <protection locked="0"/>
    </xf>
    <xf numFmtId="0" fontId="5" fillId="3" borderId="9" xfId="0" applyFont="1" applyFill="1" applyBorder="1" applyAlignment="1" applyProtection="1">
      <alignment vertical="top"/>
      <protection locked="0"/>
    </xf>
    <xf numFmtId="0" fontId="5" fillId="3" borderId="10" xfId="0" applyFont="1" applyFill="1" applyBorder="1" applyAlignment="1" applyProtection="1">
      <alignment vertical="top"/>
      <protection locked="0"/>
    </xf>
    <xf numFmtId="0" fontId="5" fillId="3" borderId="0" xfId="0" applyFont="1" applyFill="1" applyAlignment="1" applyProtection="1">
      <alignment vertical="top"/>
      <protection locked="0"/>
    </xf>
    <xf numFmtId="0" fontId="5" fillId="3" borderId="11" xfId="0" applyFont="1" applyFill="1" applyBorder="1" applyAlignment="1" applyProtection="1">
      <alignment vertical="top"/>
      <protection locked="0"/>
    </xf>
    <xf numFmtId="0" fontId="5" fillId="3" borderId="12" xfId="0" applyFont="1" applyFill="1" applyBorder="1" applyAlignment="1" applyProtection="1">
      <alignment vertical="top"/>
      <protection locked="0"/>
    </xf>
    <xf numFmtId="0" fontId="5" fillId="3" borderId="13" xfId="0" applyFont="1" applyFill="1" applyBorder="1" applyAlignment="1" applyProtection="1">
      <alignment vertical="top"/>
      <protection locked="0"/>
    </xf>
    <xf numFmtId="0" fontId="5" fillId="3" borderId="14" xfId="0" applyFont="1" applyFill="1" applyBorder="1" applyAlignment="1" applyProtection="1">
      <alignment vertical="top"/>
      <protection locked="0"/>
    </xf>
    <xf numFmtId="164" fontId="30" fillId="3" borderId="10" xfId="0" applyNumberFormat="1" applyFont="1" applyFill="1" applyBorder="1" applyProtection="1">
      <protection locked="0"/>
    </xf>
    <xf numFmtId="164" fontId="30" fillId="3" borderId="0" xfId="0" applyNumberFormat="1" applyFont="1" applyFill="1" applyProtection="1">
      <protection locked="0"/>
    </xf>
    <xf numFmtId="164" fontId="30" fillId="3" borderId="11" xfId="0" applyNumberFormat="1" applyFont="1" applyFill="1" applyBorder="1" applyProtection="1">
      <protection locked="0"/>
    </xf>
    <xf numFmtId="164" fontId="5" fillId="3" borderId="10" xfId="0" applyNumberFormat="1" applyFont="1" applyFill="1" applyBorder="1" applyProtection="1">
      <protection locked="0"/>
    </xf>
    <xf numFmtId="164" fontId="5" fillId="3" borderId="0" xfId="0" applyNumberFormat="1" applyFont="1" applyFill="1" applyProtection="1">
      <protection locked="0"/>
    </xf>
    <xf numFmtId="164" fontId="5" fillId="3" borderId="11" xfId="0" applyNumberFormat="1" applyFont="1" applyFill="1" applyBorder="1" applyProtection="1">
      <protection locked="0"/>
    </xf>
    <xf numFmtId="164" fontId="30" fillId="3" borderId="12" xfId="0" applyNumberFormat="1" applyFont="1" applyFill="1" applyBorder="1" applyProtection="1">
      <protection locked="0"/>
    </xf>
    <xf numFmtId="164" fontId="30" fillId="3" borderId="13" xfId="0" applyNumberFormat="1" applyFont="1" applyFill="1" applyBorder="1" applyProtection="1">
      <protection locked="0"/>
    </xf>
    <xf numFmtId="164" fontId="30" fillId="3" borderId="14" xfId="0" applyNumberFormat="1" applyFont="1" applyFill="1" applyBorder="1" applyProtection="1">
      <protection locked="0"/>
    </xf>
    <xf numFmtId="1" fontId="5" fillId="2" borderId="1" xfId="0" applyNumberFormat="1" applyFont="1" applyFill="1" applyBorder="1"/>
    <xf numFmtId="0" fontId="5" fillId="2" borderId="0" xfId="0" applyFont="1" applyFill="1" applyAlignment="1">
      <alignment horizontal="right"/>
    </xf>
    <xf numFmtId="0" fontId="30" fillId="2" borderId="0" xfId="0" applyFont="1" applyFill="1" applyAlignment="1">
      <alignment horizontal="right"/>
    </xf>
    <xf numFmtId="3" fontId="15" fillId="2" borderId="0" xfId="0" applyNumberFormat="1" applyFont="1" applyFill="1" applyAlignment="1">
      <alignment horizontal="right"/>
    </xf>
    <xf numFmtId="0" fontId="15" fillId="2" borderId="0" xfId="0" applyFont="1" applyFill="1"/>
    <xf numFmtId="167" fontId="30" fillId="2" borderId="0" xfId="0" applyNumberFormat="1" applyFont="1" applyFill="1"/>
    <xf numFmtId="164" fontId="5" fillId="3" borderId="7" xfId="0" applyNumberFormat="1" applyFont="1" applyFill="1" applyBorder="1" applyProtection="1">
      <protection locked="0"/>
    </xf>
    <xf numFmtId="164" fontId="5" fillId="3" borderId="8" xfId="0" applyNumberFormat="1" applyFont="1" applyFill="1" applyBorder="1" applyProtection="1">
      <protection locked="0"/>
    </xf>
    <xf numFmtId="164" fontId="5" fillId="3" borderId="9" xfId="0" applyNumberFormat="1" applyFont="1" applyFill="1" applyBorder="1" applyProtection="1">
      <protection locked="0"/>
    </xf>
    <xf numFmtId="164" fontId="5" fillId="3" borderId="12" xfId="0" applyNumberFormat="1" applyFont="1" applyFill="1" applyBorder="1" applyProtection="1">
      <protection locked="0"/>
    </xf>
    <xf numFmtId="164" fontId="5" fillId="3" borderId="1" xfId="0" applyNumberFormat="1" applyFont="1" applyFill="1" applyBorder="1" applyProtection="1">
      <protection locked="0"/>
    </xf>
    <xf numFmtId="0" fontId="30" fillId="3" borderId="2" xfId="0" applyFont="1" applyFill="1" applyBorder="1" applyProtection="1">
      <protection locked="0"/>
    </xf>
    <xf numFmtId="0" fontId="30" fillId="3" borderId="3" xfId="0" applyFont="1" applyFill="1" applyBorder="1" applyProtection="1">
      <protection locked="0"/>
    </xf>
    <xf numFmtId="0" fontId="30" fillId="2" borderId="0" xfId="0" applyFont="1" applyFill="1" applyAlignment="1">
      <alignment wrapText="1"/>
    </xf>
    <xf numFmtId="0" fontId="30" fillId="2" borderId="13" xfId="0" applyFont="1" applyFill="1" applyBorder="1" applyAlignment="1">
      <alignment wrapText="1"/>
    </xf>
    <xf numFmtId="0" fontId="5" fillId="2" borderId="0" xfId="0" applyFont="1" applyFill="1" applyAlignment="1">
      <alignment wrapText="1"/>
    </xf>
    <xf numFmtId="167" fontId="5" fillId="3" borderId="1" xfId="0" applyNumberFormat="1" applyFont="1" applyFill="1" applyBorder="1" applyProtection="1">
      <protection locked="0"/>
    </xf>
    <xf numFmtId="167" fontId="30" fillId="3" borderId="2" xfId="0" applyNumberFormat="1" applyFont="1" applyFill="1" applyBorder="1" applyProtection="1">
      <protection locked="0"/>
    </xf>
    <xf numFmtId="167" fontId="30" fillId="3" borderId="3" xfId="0" applyNumberFormat="1" applyFont="1" applyFill="1" applyBorder="1" applyProtection="1">
      <protection locked="0"/>
    </xf>
    <xf numFmtId="3" fontId="15" fillId="2" borderId="0" xfId="0" applyNumberFormat="1" applyFont="1" applyFill="1"/>
    <xf numFmtId="167" fontId="5" fillId="2" borderId="0" xfId="0" applyNumberFormat="1" applyFont="1" applyFill="1"/>
    <xf numFmtId="167" fontId="30" fillId="3" borderId="7" xfId="0" applyNumberFormat="1" applyFont="1" applyFill="1" applyBorder="1" applyAlignment="1" applyProtection="1">
      <alignment horizontal="right" vertical="center"/>
      <protection locked="0"/>
    </xf>
    <xf numFmtId="167" fontId="0" fillId="3" borderId="8" xfId="0" applyNumberFormat="1" applyFill="1" applyBorder="1" applyAlignment="1" applyProtection="1">
      <alignment horizontal="right" vertical="center"/>
      <protection locked="0"/>
    </xf>
    <xf numFmtId="167" fontId="0" fillId="3" borderId="9" xfId="0" applyNumberFormat="1" applyFill="1" applyBorder="1" applyAlignment="1" applyProtection="1">
      <alignment horizontal="right" vertical="center"/>
      <protection locked="0"/>
    </xf>
    <xf numFmtId="167" fontId="0" fillId="3" borderId="12" xfId="0" applyNumberFormat="1" applyFill="1" applyBorder="1" applyAlignment="1" applyProtection="1">
      <alignment horizontal="right" vertical="center"/>
      <protection locked="0"/>
    </xf>
    <xf numFmtId="167" fontId="0" fillId="3" borderId="13" xfId="0" applyNumberFormat="1" applyFill="1" applyBorder="1" applyAlignment="1" applyProtection="1">
      <alignment horizontal="right" vertical="center"/>
      <protection locked="0"/>
    </xf>
    <xf numFmtId="167" fontId="0" fillId="3" borderId="14" xfId="0" applyNumberFormat="1" applyFill="1" applyBorder="1" applyAlignment="1" applyProtection="1">
      <alignment horizontal="right" vertical="center"/>
      <protection locked="0"/>
    </xf>
    <xf numFmtId="0" fontId="0" fillId="2" borderId="13" xfId="0" applyFill="1" applyBorder="1" applyAlignment="1">
      <alignment wrapText="1"/>
    </xf>
    <xf numFmtId="0" fontId="5" fillId="2" borderId="0" xfId="0" applyFont="1" applyFill="1"/>
    <xf numFmtId="0" fontId="30" fillId="2" borderId="0" xfId="0" applyFont="1" applyFill="1"/>
    <xf numFmtId="0" fontId="5" fillId="2" borderId="0" xfId="0" applyFont="1" applyFill="1" applyAlignment="1">
      <alignment horizontal="left"/>
    </xf>
    <xf numFmtId="0" fontId="30" fillId="2" borderId="0" xfId="0" applyFont="1" applyFill="1" applyAlignment="1">
      <alignment horizontal="left"/>
    </xf>
    <xf numFmtId="168" fontId="30" fillId="3" borderId="4" xfId="0" applyNumberFormat="1" applyFont="1" applyFill="1" applyBorder="1" applyAlignment="1" applyProtection="1">
      <alignment vertical="center"/>
      <protection locked="0"/>
    </xf>
    <xf numFmtId="0" fontId="0" fillId="3" borderId="15" xfId="0" applyFill="1" applyBorder="1" applyAlignment="1" applyProtection="1">
      <alignment vertical="center"/>
      <protection locked="0"/>
    </xf>
    <xf numFmtId="0" fontId="0" fillId="0" borderId="8"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13" xfId="0" applyBorder="1" applyAlignment="1" applyProtection="1">
      <alignment horizontal="right" vertical="center"/>
      <protection locked="0"/>
    </xf>
    <xf numFmtId="0" fontId="0" fillId="0" borderId="14" xfId="0" applyBorder="1" applyAlignment="1" applyProtection="1">
      <alignment horizontal="right" vertical="center"/>
      <protection locked="0"/>
    </xf>
    <xf numFmtId="167" fontId="0" fillId="0" borderId="10" xfId="0" applyNumberFormat="1" applyBorder="1" applyAlignment="1" applyProtection="1">
      <alignment horizontal="right" vertical="center"/>
      <protection locked="0"/>
    </xf>
    <xf numFmtId="167" fontId="0" fillId="0" borderId="0" xfId="0" applyNumberFormat="1" applyAlignment="1" applyProtection="1">
      <alignment horizontal="right" vertical="center"/>
      <protection locked="0"/>
    </xf>
    <xf numFmtId="167" fontId="0" fillId="0" borderId="11" xfId="0" applyNumberFormat="1" applyBorder="1" applyAlignment="1" applyProtection="1">
      <alignment horizontal="right" vertical="center"/>
      <protection locked="0"/>
    </xf>
    <xf numFmtId="167" fontId="0" fillId="0" borderId="12" xfId="0" applyNumberFormat="1" applyBorder="1" applyAlignment="1" applyProtection="1">
      <alignment horizontal="right" vertical="center"/>
      <protection locked="0"/>
    </xf>
    <xf numFmtId="167" fontId="0" fillId="0" borderId="13" xfId="0" applyNumberFormat="1" applyBorder="1" applyAlignment="1" applyProtection="1">
      <alignment horizontal="right" vertical="center"/>
      <protection locked="0"/>
    </xf>
    <xf numFmtId="167" fontId="0" fillId="0" borderId="14" xfId="0" applyNumberFormat="1" applyBorder="1" applyAlignment="1" applyProtection="1">
      <alignment horizontal="right" vertical="center"/>
      <protection locked="0"/>
    </xf>
    <xf numFmtId="168" fontId="0" fillId="0" borderId="15" xfId="0" applyNumberFormat="1" applyBorder="1" applyAlignment="1" applyProtection="1">
      <alignment vertical="center"/>
      <protection locked="0"/>
    </xf>
    <xf numFmtId="168" fontId="0" fillId="0" borderId="5" xfId="0" applyNumberFormat="1" applyBorder="1" applyAlignment="1" applyProtection="1">
      <alignment vertical="center"/>
      <protection locked="0"/>
    </xf>
    <xf numFmtId="0" fontId="30" fillId="2" borderId="13" xfId="0" applyFont="1" applyFill="1" applyBorder="1"/>
    <xf numFmtId="3" fontId="5" fillId="2" borderId="1" xfId="0" applyNumberFormat="1" applyFont="1" applyFill="1" applyBorder="1"/>
    <xf numFmtId="0" fontId="0" fillId="2" borderId="3" xfId="0" applyFill="1" applyBorder="1"/>
    <xf numFmtId="1" fontId="5" fillId="2" borderId="0" xfId="0" applyNumberFormat="1" applyFont="1" applyFill="1" applyAlignment="1">
      <alignment horizontal="right"/>
    </xf>
    <xf numFmtId="0" fontId="0" fillId="0" borderId="0" xfId="0" applyAlignment="1">
      <alignment wrapText="1"/>
    </xf>
    <xf numFmtId="9" fontId="5" fillId="2" borderId="1" xfId="0" applyNumberFormat="1" applyFont="1" applyFill="1" applyBorder="1"/>
    <xf numFmtId="9" fontId="0" fillId="2" borderId="3" xfId="0" applyNumberFormat="1" applyFill="1" applyBorder="1"/>
    <xf numFmtId="9" fontId="0" fillId="2" borderId="2" xfId="0" applyNumberFormat="1" applyFill="1" applyBorder="1"/>
    <xf numFmtId="0" fontId="5" fillId="2" borderId="12" xfId="0" applyFont="1" applyFill="1" applyBorder="1"/>
    <xf numFmtId="0" fontId="5" fillId="2" borderId="13" xfId="0" applyFont="1" applyFill="1" applyBorder="1"/>
    <xf numFmtId="0" fontId="5" fillId="2" borderId="14" xfId="0" applyFont="1" applyFill="1" applyBorder="1"/>
    <xf numFmtId="0" fontId="0" fillId="2" borderId="13" xfId="0" applyFill="1" applyBorder="1"/>
    <xf numFmtId="0" fontId="5" fillId="2" borderId="7" xfId="0" applyFont="1" applyFill="1" applyBorder="1"/>
    <xf numFmtId="0" fontId="5" fillId="2" borderId="8" xfId="0" applyFont="1" applyFill="1" applyBorder="1"/>
    <xf numFmtId="0" fontId="5" fillId="2" borderId="9" xfId="0" applyFont="1" applyFill="1" applyBorder="1"/>
    <xf numFmtId="0" fontId="5" fillId="2" borderId="10" xfId="0" applyFont="1" applyFill="1" applyBorder="1"/>
    <xf numFmtId="0" fontId="5" fillId="2" borderId="11" xfId="0" applyFont="1" applyFill="1" applyBorder="1"/>
    <xf numFmtId="0" fontId="5" fillId="2" borderId="10" xfId="0" applyFont="1" applyFill="1" applyBorder="1" applyAlignment="1">
      <alignment vertical="center" wrapText="1"/>
    </xf>
    <xf numFmtId="0" fontId="5" fillId="2" borderId="0" xfId="0" applyFont="1" applyFill="1" applyAlignment="1">
      <alignment vertical="center" wrapText="1"/>
    </xf>
    <xf numFmtId="0" fontId="5" fillId="2" borderId="11" xfId="0" applyFont="1" applyFill="1" applyBorder="1" applyAlignment="1">
      <alignment vertical="center" wrapText="1"/>
    </xf>
    <xf numFmtId="3" fontId="5" fillId="2" borderId="10" xfId="0" applyNumberFormat="1" applyFont="1" applyFill="1" applyBorder="1" applyAlignment="1">
      <alignment horizontal="left"/>
    </xf>
    <xf numFmtId="0" fontId="0" fillId="2" borderId="0" xfId="0" applyFill="1" applyAlignment="1">
      <alignment horizontal="left"/>
    </xf>
    <xf numFmtId="165" fontId="0" fillId="2" borderId="0" xfId="0" applyNumberFormat="1" applyFill="1" applyAlignment="1">
      <alignment horizontal="left"/>
    </xf>
    <xf numFmtId="0" fontId="5" fillId="6" borderId="0" xfId="0" applyFont="1" applyFill="1" applyAlignment="1">
      <alignment vertical="top" wrapText="1"/>
    </xf>
    <xf numFmtId="0" fontId="0" fillId="6" borderId="0" xfId="0" applyFill="1" applyAlignment="1">
      <alignment vertical="top" wrapText="1"/>
    </xf>
    <xf numFmtId="0" fontId="5" fillId="0" borderId="0" xfId="0" applyFont="1" applyAlignment="1">
      <alignment vertical="top" wrapText="1"/>
    </xf>
    <xf numFmtId="0" fontId="5" fillId="6" borderId="0" xfId="0" applyFont="1" applyFill="1" applyAlignment="1" applyProtection="1">
      <alignment vertical="top" wrapText="1"/>
      <protection locked="0"/>
    </xf>
    <xf numFmtId="0" fontId="34" fillId="2" borderId="0" xfId="0" applyFont="1" applyFill="1" applyAlignment="1">
      <alignment vertical="top" wrapText="1"/>
    </xf>
    <xf numFmtId="0" fontId="34" fillId="2" borderId="0" xfId="0" applyFont="1" applyFill="1" applyAlignment="1">
      <alignment wrapText="1"/>
    </xf>
  </cellXfs>
  <cellStyles count="9">
    <cellStyle name="Euro" xfId="8" xr:uid="{AC6E2BF0-2288-4A52-9821-760A10D743C3}"/>
    <cellStyle name="Hyperlink" xfId="2" builtinId="8"/>
    <cellStyle name="Hyperlink 2" xfId="4" xr:uid="{86768675-0FC4-472F-A2F5-FCAD9D1AC85A}"/>
    <cellStyle name="Komma 2" xfId="7" xr:uid="{61F24806-D7BF-44F3-B5E7-3CDFF75C3AD5}"/>
    <cellStyle name="Procent" xfId="1" builtinId="5"/>
    <cellStyle name="Procent 2" xfId="6" xr:uid="{33AC6522-E583-4496-98A6-431F3C3F8D87}"/>
    <cellStyle name="Standaard" xfId="0" builtinId="0"/>
    <cellStyle name="Standaard 2" xfId="3" xr:uid="{7EC8672C-7FEB-47D2-B801-F573D2FF3DCE}"/>
    <cellStyle name="Standaard_TEMPLATE FEM BEGROTING DEMO" xfId="5" xr:uid="{4C803425-269F-4E02-B677-665491C8C410}"/>
  </cellStyles>
  <dxfs count="237">
    <dxf>
      <border>
        <bottom style="thin">
          <color auto="1"/>
        </bottom>
        <vertical/>
        <horizontal/>
      </border>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top style="thin">
          <color auto="1"/>
        </top>
        <vertical/>
        <horizontal/>
      </border>
    </dxf>
    <dxf>
      <fill>
        <patternFill>
          <bgColor theme="0"/>
        </patternFill>
      </fill>
      <border>
        <top/>
        <bottom style="thin">
          <color auto="1"/>
        </bottom>
        <vertical/>
        <horizontal/>
      </border>
    </dxf>
    <dxf>
      <border>
        <right style="thin">
          <color auto="1"/>
        </right>
        <vertical/>
        <horizontal/>
      </border>
    </dxf>
    <dxf>
      <fill>
        <patternFill>
          <bgColor theme="0"/>
        </patternFill>
      </fill>
      <border>
        <top style="thin">
          <color auto="1"/>
        </top>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right style="thin">
          <color auto="1"/>
        </right>
        <vertical/>
        <horizontal/>
      </border>
    </dxf>
    <dxf>
      <border>
        <right style="thin">
          <color auto="1"/>
        </right>
        <vertical/>
        <horizontal/>
      </border>
    </dxf>
    <dxf>
      <fill>
        <patternFill>
          <bgColor theme="0"/>
        </patternFill>
      </fill>
    </dxf>
    <dxf>
      <border>
        <top style="thin">
          <color auto="1"/>
        </top>
        <vertical/>
        <horizontal/>
      </border>
    </dxf>
    <dxf>
      <border>
        <right style="thin">
          <color auto="1"/>
        </right>
        <vertical/>
        <horizontal/>
      </border>
    </dxf>
    <dxf>
      <border>
        <bottom style="thin">
          <color auto="1"/>
        </bottom>
        <vertical/>
        <horizontal/>
      </border>
    </dxf>
    <dxf>
      <fill>
        <patternFill>
          <bgColor theme="0"/>
        </patternFill>
      </fill>
    </dxf>
    <dxf>
      <border>
        <left/>
        <right style="thin">
          <color auto="1"/>
        </right>
        <top/>
        <bottom/>
        <vertical/>
        <horizontal/>
      </border>
    </dxf>
    <dxf>
      <fill>
        <patternFill>
          <bgColor theme="0"/>
        </patternFill>
      </fill>
    </dxf>
    <dxf>
      <fill>
        <patternFill>
          <bgColor theme="0"/>
        </patternFill>
      </fill>
    </dxf>
    <dxf>
      <border>
        <top style="thin">
          <color auto="1"/>
        </top>
        <vertical/>
        <horizontal/>
      </border>
    </dxf>
    <dxf>
      <border>
        <right style="thin">
          <color auto="1"/>
        </right>
        <vertical/>
        <horizontal/>
      </border>
    </dxf>
    <dxf>
      <fill>
        <patternFill>
          <bgColor theme="0"/>
        </patternFill>
      </fill>
      <border>
        <bottom style="thin">
          <color auto="1"/>
        </bottom>
        <vertical/>
        <horizontal/>
      </border>
    </dxf>
    <dxf>
      <border>
        <right style="thin">
          <color auto="1"/>
        </right>
        <vertical/>
        <horizontal/>
      </border>
    </dxf>
    <dxf>
      <fill>
        <patternFill>
          <bgColor theme="0"/>
        </patternFill>
      </fill>
      <border>
        <top style="thin">
          <color auto="1"/>
        </top>
        <vertical/>
        <horizontal/>
      </border>
    </dxf>
    <dxf>
      <border>
        <right style="thin">
          <color auto="1"/>
        </right>
        <vertical/>
        <horizontal/>
      </border>
    </dxf>
    <dxf>
      <border>
        <bottom style="thin">
          <color auto="1"/>
        </bottom>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top style="thin">
          <color auto="1"/>
        </top>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border>
        <bottom style="thin">
          <color auto="1"/>
        </bottom>
        <vertical/>
        <horizontal/>
      </border>
    </dxf>
    <dxf>
      <border>
        <right style="thin">
          <color auto="1"/>
        </right>
        <vertical/>
        <horizontal/>
      </border>
    </dxf>
    <dxf>
      <fill>
        <patternFill>
          <bgColor theme="0"/>
        </patternFill>
      </fill>
      <border>
        <top style="thin">
          <color auto="1"/>
        </top>
        <vertical/>
        <horizontal/>
      </border>
    </dxf>
    <dxf>
      <border>
        <bottom style="thin">
          <color auto="1"/>
        </bottom>
        <vertical/>
        <horizontal/>
      </border>
    </dxf>
    <dxf>
      <border>
        <right style="thin">
          <color auto="1"/>
        </right>
        <vertical/>
        <horizontal/>
      </border>
    </dxf>
    <dxf>
      <fill>
        <patternFill>
          <bgColor theme="0"/>
        </patternFill>
      </fill>
    </dxf>
    <dxf>
      <fill>
        <patternFill>
          <bgColor theme="0"/>
        </patternFill>
      </fill>
      <border>
        <top/>
        <vertical/>
        <horizontal/>
      </border>
    </dxf>
    <dxf>
      <border>
        <right style="thin">
          <color auto="1"/>
        </right>
        <vertical/>
        <horizontal/>
      </border>
    </dxf>
    <dxf>
      <border>
        <top style="thin">
          <color auto="1"/>
        </top>
        <vertical/>
        <horizontal/>
      </border>
    </dxf>
    <dxf>
      <border>
        <bottom style="thin">
          <color auto="1"/>
        </bottom>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top style="thin">
          <color auto="1"/>
        </top>
        <vertical/>
        <horizontal/>
      </border>
    </dxf>
    <dxf>
      <border>
        <right style="thin">
          <color auto="1"/>
        </right>
        <vertical/>
        <horizontal/>
      </border>
    </dxf>
    <dxf>
      <fill>
        <patternFill>
          <bgColor theme="0"/>
        </patternFill>
      </fill>
      <border>
        <bottom style="thin">
          <color auto="1"/>
        </bottom>
        <vertical/>
        <horizontal/>
      </border>
    </dxf>
    <dxf>
      <border>
        <right style="thin">
          <color auto="1"/>
        </right>
      </border>
    </dxf>
    <dxf>
      <fill>
        <patternFill>
          <bgColor theme="0"/>
        </patternFill>
      </fill>
      <border>
        <top style="thin">
          <color auto="1"/>
        </top>
        <vertical/>
        <horizontal/>
      </border>
    </dxf>
    <dxf>
      <border>
        <right style="thin">
          <color auto="1"/>
        </right>
        <vertical/>
        <horizontal/>
      </border>
    </dxf>
    <dxf>
      <border>
        <bottom style="thin">
          <color auto="1"/>
        </bottom>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border>
        <left/>
        <top style="thin">
          <color auto="1"/>
        </top>
        <vertical/>
        <horizontal/>
      </border>
    </dxf>
    <dxf>
      <fill>
        <patternFill>
          <bgColor theme="0"/>
        </patternFill>
      </fill>
    </dxf>
    <dxf>
      <fill>
        <patternFill>
          <bgColor theme="0"/>
        </patternFill>
      </fill>
    </dxf>
    <dxf>
      <border>
        <bottom style="thin">
          <color auto="1"/>
        </bottom>
        <vertical/>
        <horizontal/>
      </border>
    </dxf>
    <dxf>
      <border>
        <right style="thin">
          <color auto="1"/>
        </right>
        <vertical/>
        <horizontal/>
      </border>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top style="thin">
          <color auto="1"/>
        </top>
        <vertical/>
        <horizontal/>
      </border>
    </dxf>
    <dxf>
      <fill>
        <patternFill>
          <bgColor theme="0"/>
        </patternFill>
      </fill>
      <border>
        <bottom style="thin">
          <color auto="1"/>
        </bottom>
        <vertical/>
        <horizontal/>
      </border>
    </dxf>
    <dxf>
      <border>
        <right style="thin">
          <color auto="1"/>
        </right>
        <vertical/>
        <horizontal/>
      </border>
    </dxf>
    <dxf>
      <fill>
        <patternFill>
          <bgColor theme="0"/>
        </patternFill>
      </fill>
      <border>
        <top style="thin">
          <color auto="1"/>
        </top>
        <vertical/>
        <horizontal/>
      </border>
    </dxf>
    <dxf>
      <fill>
        <patternFill>
          <bgColor theme="0"/>
        </patternFill>
      </fill>
    </dxf>
    <dxf>
      <border>
        <bottom style="thin">
          <color auto="1"/>
        </bottom>
        <vertical/>
        <horizontal/>
      </border>
    </dxf>
    <dxf>
      <border>
        <right style="thin">
          <color auto="1"/>
        </right>
        <vertical/>
        <horizontal/>
      </border>
    </dxf>
    <dxf>
      <border>
        <right style="thin">
          <color auto="1"/>
        </right>
        <vertical/>
        <horizontal/>
      </border>
    </dxf>
    <dxf>
      <fill>
        <patternFill>
          <bgColor theme="0"/>
        </patternFill>
      </fill>
    </dxf>
    <dxf>
      <fill>
        <patternFill>
          <bgColor theme="0"/>
        </patternFill>
      </fill>
    </dxf>
    <dxf>
      <border>
        <top style="thin">
          <color auto="1"/>
        </top>
        <vertical/>
        <horizontal/>
      </border>
    </dxf>
    <dxf>
      <border>
        <right style="thin">
          <color auto="1"/>
        </right>
        <vertical/>
        <horizontal/>
      </border>
    </dxf>
    <dxf>
      <border>
        <bottom style="thin">
          <color auto="1"/>
        </bottom>
        <vertical/>
        <horizontal/>
      </border>
    </dxf>
    <dxf>
      <border>
        <right style="thin">
          <color auto="1"/>
        </right>
        <vertical/>
        <horizontal/>
      </border>
    </dxf>
    <dxf>
      <fill>
        <patternFill>
          <bgColor theme="0"/>
        </patternFill>
      </fill>
    </dxf>
    <dxf>
      <fill>
        <patternFill>
          <bgColor theme="0"/>
        </patternFill>
      </fill>
    </dxf>
    <dxf>
      <border>
        <right style="thin">
          <color auto="1"/>
        </right>
        <vertical/>
        <horizontal/>
      </border>
    </dxf>
    <dxf>
      <border>
        <right style="thin">
          <color auto="1"/>
        </right>
        <vertical/>
        <horizontal/>
      </border>
    </dxf>
    <dxf>
      <fill>
        <patternFill>
          <bgColor theme="0"/>
        </patternFill>
      </fill>
    </dxf>
    <dxf>
      <border>
        <top style="thin">
          <color auto="1"/>
        </top>
        <vertical/>
        <horizontal/>
      </border>
    </dxf>
    <dxf>
      <fill>
        <patternFill>
          <bgColor theme="0"/>
        </patternFill>
      </fill>
      <border>
        <bottom style="thin">
          <color auto="1"/>
        </bottom>
        <vertical/>
        <horizontal/>
      </border>
    </dxf>
    <dxf>
      <border>
        <right style="thin">
          <color auto="1"/>
        </right>
        <vertical/>
        <horizontal/>
      </border>
    </dxf>
    <dxf>
      <fill>
        <patternFill>
          <bgColor theme="0"/>
        </patternFill>
      </fill>
      <border>
        <top style="thin">
          <color auto="1"/>
        </top>
        <vertical/>
        <horizontal/>
      </border>
    </dxf>
    <dxf>
      <border>
        <bottom style="thin">
          <color auto="1"/>
        </bottom>
        <vertical/>
        <horizontal/>
      </border>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right/>
        <top style="thin">
          <color auto="1"/>
        </top>
        <vertical/>
        <horizontal/>
      </border>
    </dxf>
    <dxf>
      <border>
        <right style="thin">
          <color auto="1"/>
        </right>
        <vertical/>
        <horizontal/>
      </border>
    </dxf>
    <dxf>
      <fill>
        <patternFill>
          <bgColor theme="0"/>
        </patternFill>
      </fill>
    </dxf>
    <dxf>
      <fill>
        <patternFill>
          <bgColor theme="0"/>
        </patternFill>
      </fill>
    </dxf>
    <dxf>
      <border>
        <bottom style="thin">
          <color auto="1"/>
        </bottom>
        <vertical/>
        <horizontal/>
      </border>
    </dxf>
    <dxf>
      <border>
        <right style="thin">
          <color auto="1"/>
        </right>
        <vertical/>
        <horizontal/>
      </border>
    </dxf>
    <dxf>
      <border>
        <right style="thin">
          <color auto="1"/>
        </right>
        <vertical/>
        <horizontal/>
      </border>
    </dxf>
    <dxf>
      <fill>
        <patternFill>
          <bgColor theme="0"/>
        </patternFill>
      </fill>
    </dxf>
    <dxf>
      <border>
        <top style="thin">
          <color auto="1"/>
        </top>
        <vertical/>
        <horizontal/>
      </border>
    </dxf>
    <dxf>
      <fill>
        <patternFill>
          <bgColor theme="0"/>
        </patternFill>
      </fill>
    </dxf>
    <dxf>
      <border>
        <right style="thin">
          <color auto="1"/>
        </right>
        <vertical/>
        <horizontal/>
      </border>
    </dxf>
    <dxf>
      <fill>
        <patternFill>
          <bgColor theme="0"/>
        </patternFill>
      </fill>
      <border>
        <bottom style="thin">
          <color auto="1"/>
        </bottom>
        <vertical/>
        <horizontal/>
      </border>
    </dxf>
    <dxf>
      <border>
        <right style="thin">
          <color auto="1"/>
        </right>
        <vertical/>
        <horizontal/>
      </border>
    </dxf>
    <dxf>
      <fill>
        <patternFill>
          <bgColor theme="0"/>
        </patternFill>
      </fill>
      <border>
        <top style="thin">
          <color auto="1"/>
        </top>
        <vertical/>
        <horizontal/>
      </border>
    </dxf>
    <dxf>
      <border>
        <bottom style="thin">
          <color auto="1"/>
        </bottom>
        <vertical/>
        <horizontal/>
      </border>
    </dxf>
    <dxf>
      <fill>
        <patternFill>
          <bgColor theme="0"/>
        </patternFill>
      </fill>
    </dxf>
    <dxf>
      <border>
        <right style="thin">
          <color auto="1"/>
        </right>
        <vertical/>
        <horizontal/>
      </border>
    </dxf>
    <dxf>
      <fill>
        <patternFill>
          <bgColor theme="0"/>
        </patternFill>
      </fill>
    </dxf>
    <dxf>
      <fill>
        <patternFill>
          <bgColor theme="0"/>
        </patternFill>
      </fill>
      <border>
        <right style="thin">
          <color auto="1"/>
        </right>
      </border>
    </dxf>
    <dxf>
      <border>
        <right style="thin">
          <color auto="1"/>
        </right>
        <vertical/>
        <horizontal/>
      </border>
    </dxf>
    <dxf>
      <fill>
        <patternFill>
          <bgColor theme="0"/>
        </patternFill>
      </fill>
    </dxf>
    <dxf>
      <border>
        <top style="thin">
          <color auto="1"/>
        </top>
        <vertical/>
        <horizontal/>
      </border>
    </dxf>
    <dxf>
      <fill>
        <patternFill>
          <bgColor theme="0"/>
        </patternFill>
      </fill>
    </dxf>
    <dxf>
      <border>
        <right style="thin">
          <color auto="1"/>
        </right>
        <vertical/>
        <horizontal/>
      </border>
    </dxf>
    <dxf>
      <border>
        <bottom style="thin">
          <color auto="1"/>
        </bottom>
        <vertical/>
        <horizontal/>
      </border>
    </dxf>
    <dxf>
      <border>
        <top style="thin">
          <color auto="1"/>
        </top>
        <vertical/>
        <horizontal/>
      </border>
    </dxf>
    <dxf>
      <border>
        <right style="thin">
          <color auto="1"/>
        </right>
        <vertical/>
        <horizontal/>
      </border>
    </dxf>
    <dxf>
      <fill>
        <patternFill>
          <bgColor theme="0"/>
        </patternFill>
      </fill>
    </dxf>
    <dxf>
      <fill>
        <patternFill>
          <bgColor theme="0"/>
        </patternFill>
      </fill>
      <border>
        <bottom style="thin">
          <color auto="1"/>
        </bottom>
        <vertical/>
        <horizontal/>
      </border>
    </dxf>
    <dxf>
      <border>
        <right style="thin">
          <color auto="1"/>
        </right>
        <vertical/>
        <horizontal/>
      </border>
    </dxf>
    <dxf>
      <fill>
        <patternFill>
          <bgColor theme="0"/>
        </patternFill>
      </fill>
      <border>
        <top style="thin">
          <color auto="1"/>
        </top>
        <vertical/>
        <horizontal/>
      </border>
    </dxf>
    <dxf>
      <border>
        <bottom style="thin">
          <color auto="1"/>
        </bottom>
        <vertical/>
        <horizontal/>
      </border>
    </dxf>
    <dxf>
      <fill>
        <patternFill>
          <bgColor theme="0"/>
        </patternFill>
      </fill>
    </dxf>
    <dxf>
      <border>
        <right style="thin">
          <color auto="1"/>
        </right>
        <vertical/>
        <horizontal/>
      </border>
    </dxf>
    <dxf>
      <border>
        <top style="thin">
          <color auto="1"/>
        </top>
        <vertical/>
        <horizontal/>
      </border>
    </dxf>
    <dxf>
      <border>
        <bottom style="thin">
          <color auto="1"/>
        </bottom>
        <vertical/>
        <horizontal/>
      </border>
    </dxf>
    <dxf>
      <border>
        <top style="thin">
          <color auto="1"/>
        </top>
        <vertical/>
        <horizontal/>
      </border>
    </dxf>
    <dxf>
      <fill>
        <patternFill>
          <bgColor theme="0"/>
        </patternFill>
      </fill>
      <border>
        <bottom style="thin">
          <color auto="1"/>
        </bottom>
        <vertical/>
        <horizontal/>
      </border>
    </dxf>
    <dxf>
      <border>
        <right style="thin">
          <color auto="1"/>
        </right>
        <vertical/>
        <horizontal/>
      </border>
    </dxf>
    <dxf>
      <fill>
        <patternFill>
          <bgColor theme="0"/>
        </patternFill>
      </fill>
      <border>
        <top style="thin">
          <color auto="1"/>
        </top>
        <vertical/>
        <horizontal/>
      </border>
    </dxf>
    <dxf>
      <border>
        <bottom style="thin">
          <color auto="1"/>
        </bottom>
        <vertical/>
        <horizontal/>
      </border>
    </dxf>
    <dxf>
      <fill>
        <patternFill>
          <bgColor theme="0"/>
        </patternFill>
      </fill>
    </dxf>
    <dxf>
      <border>
        <right style="thin">
          <color auto="1"/>
        </right>
        <vertical/>
        <horizontal/>
      </border>
    </dxf>
    <dxf>
      <border>
        <top style="thin">
          <color auto="1"/>
        </top>
        <vertical/>
        <horizontal/>
      </border>
    </dxf>
    <dxf>
      <border>
        <bottom style="thin">
          <color auto="1"/>
        </bottom>
        <vertical/>
        <horizontal/>
      </border>
    </dxf>
    <dxf>
      <border>
        <top style="thin">
          <color auto="1"/>
        </top>
        <vertical/>
        <horizontal/>
      </border>
    </dxf>
    <dxf>
      <fill>
        <patternFill>
          <bgColor theme="0"/>
        </patternFill>
      </fill>
      <border>
        <top/>
        <bottom style="thin">
          <color auto="1"/>
        </bottom>
        <vertical/>
        <horizontal/>
      </border>
    </dxf>
    <dxf>
      <border>
        <right style="thin">
          <color auto="1"/>
        </right>
        <vertical/>
        <horizontal/>
      </border>
    </dxf>
    <dxf>
      <fill>
        <patternFill>
          <bgColor theme="0"/>
        </patternFill>
      </fill>
    </dxf>
    <dxf>
      <border>
        <top style="thin">
          <color auto="1"/>
        </top>
        <vertical/>
        <horizontal/>
      </border>
    </dxf>
    <dxf>
      <border>
        <right style="thin">
          <color auto="1"/>
        </right>
        <top/>
        <vertical/>
        <horizontal/>
      </border>
    </dxf>
    <dxf>
      <border>
        <bottom style="thin">
          <color auto="1"/>
        </bottom>
        <vertical/>
        <horizontal/>
      </border>
    </dxf>
    <dxf>
      <fill>
        <patternFill>
          <bgColor theme="0"/>
        </patternFill>
      </fill>
    </dxf>
    <dxf>
      <border>
        <right style="thin">
          <color auto="1"/>
        </right>
        <vertical/>
        <horizontal/>
      </border>
    </dxf>
    <dxf>
      <border>
        <top style="thin">
          <color auto="1"/>
        </top>
        <vertical/>
        <horizontal/>
      </border>
    </dxf>
    <dxf>
      <border>
        <right style="thin">
          <color auto="1"/>
        </right>
        <vertical/>
        <horizontal/>
      </border>
    </dxf>
    <dxf>
      <border>
        <right style="thin">
          <color auto="1"/>
        </right>
        <vertical/>
        <horizontal/>
      </border>
    </dxf>
    <dxf>
      <fill>
        <patternFill>
          <bgColor rgb="FFB7DEE8"/>
        </patternFill>
      </fill>
    </dxf>
    <dxf>
      <fill>
        <patternFill>
          <bgColor rgb="FFB7DEE8"/>
        </patternFill>
      </fill>
    </dxf>
    <dxf>
      <fill>
        <patternFill>
          <bgColor rgb="FFB7DEE8"/>
        </patternFill>
      </fill>
    </dxf>
    <dxf>
      <fill>
        <patternFill>
          <bgColor rgb="FFB7DEE8"/>
        </patternFill>
      </fill>
    </dxf>
    <dxf>
      <border>
        <left style="thin">
          <color indexed="64"/>
        </left>
        <right style="thin">
          <color indexed="64"/>
        </right>
        <top style="thin">
          <color indexed="64"/>
        </top>
      </border>
    </dxf>
    <dxf>
      <border>
        <left style="thin">
          <color indexed="64"/>
        </left>
        <right style="thin">
          <color indexed="64"/>
        </right>
        <top style="thin">
          <color indexed="64"/>
        </top>
      </border>
    </dxf>
    <dxf>
      <fill>
        <patternFill>
          <bgColor rgb="FFB7DEE8"/>
        </patternFill>
      </fill>
    </dxf>
    <dxf>
      <border>
        <left style="thin">
          <color indexed="64"/>
        </left>
        <right style="thin">
          <color indexed="64"/>
        </right>
        <top/>
        <bottom style="thin">
          <color indexed="64"/>
        </bottom>
      </border>
    </dxf>
    <dxf>
      <border>
        <left style="thin">
          <color indexed="64"/>
        </left>
        <right style="thin">
          <color indexed="64"/>
        </right>
        <top/>
        <bottom style="thin">
          <color indexed="64"/>
        </bottom>
      </border>
    </dxf>
    <dxf>
      <fill>
        <patternFill>
          <bgColor rgb="FFB7DEE8"/>
        </patternFill>
      </fill>
    </dxf>
    <dxf>
      <fill>
        <patternFill patternType="solid">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ont>
        <b/>
        <i val="0"/>
        <color rgb="FFFF0000"/>
      </font>
    </dxf>
    <dxf>
      <fill>
        <patternFill>
          <bgColor rgb="FFFF0000"/>
        </patternFill>
      </fill>
    </dxf>
    <dxf>
      <fill>
        <patternFill>
          <bgColor rgb="FFFF0000"/>
        </patternFill>
      </fill>
    </dxf>
  </dxfs>
  <tableStyles count="0" defaultTableStyle="TableStyleMedium2" defaultPivotStyle="PivotStyleLight16"/>
  <colors>
    <mruColors>
      <color rgb="FFB7DEE8"/>
      <color rgb="FF005D96"/>
      <color rgb="FF004E7E"/>
      <color rgb="FF007BC7"/>
      <color rgb="FFB4C6E7"/>
      <color rgb="FFBDD7EE"/>
      <color rgb="FFFFFFFF"/>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List" dx="22" fmlaLink="Hulpblad_overig!$B$7" fmlaRange="Hulpblad_overig!$A$5:$A$6" noThreeD="1" sel="2" val="0"/>
</file>

<file path=xl/ctrlProps/ctrlProp2.xml><?xml version="1.0" encoding="utf-8"?>
<formControlPr xmlns="http://schemas.microsoft.com/office/spreadsheetml/2009/9/main" objectType="List" dx="22" fmlaLink="Hulpblad_overig!$B$22" fmlaRange="Hulpblad_overig!$A$19:$A$21" sel="1" val="0"/>
</file>

<file path=xl/ctrlProps/ctrlProp3.xml><?xml version="1.0" encoding="utf-8"?>
<formControlPr xmlns="http://schemas.microsoft.com/office/spreadsheetml/2009/9/main" objectType="List" dx="22" fmlaLink="Hulpblad_overig!$B$15" fmlaRange="Hulpblad_overig!$A$14:$A$15" sel="1" val="0"/>
</file>

<file path=xl/ctrlProps/ctrlProp4.xml><?xml version="1.0" encoding="utf-8"?>
<formControlPr xmlns="http://schemas.microsoft.com/office/spreadsheetml/2009/9/main" objectType="List" dx="22" fmlaLink="Hulpblad_overig!$A$37" fmlaRange="Hulpblad_overig!$A$35:$A$36"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152401</xdr:colOff>
      <xdr:row>0</xdr:row>
      <xdr:rowOff>0</xdr:rowOff>
    </xdr:from>
    <xdr:to>
      <xdr:col>13</xdr:col>
      <xdr:colOff>171451</xdr:colOff>
      <xdr:row>0</xdr:row>
      <xdr:rowOff>1497040</xdr:rowOff>
    </xdr:to>
    <xdr:pic>
      <xdr:nvPicPr>
        <xdr:cNvPr id="4" name="Afbeelding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1" y="0"/>
          <a:ext cx="2457450" cy="1490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xdr:row>
          <xdr:rowOff>85725</xdr:rowOff>
        </xdr:from>
        <xdr:to>
          <xdr:col>5</xdr:col>
          <xdr:colOff>0</xdr:colOff>
          <xdr:row>5</xdr:row>
          <xdr:rowOff>400050</xdr:rowOff>
        </xdr:to>
        <xdr:sp macro="" textlink="">
          <xdr:nvSpPr>
            <xdr:cNvPr id="10249" name="List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26670</xdr:colOff>
      <xdr:row>2</xdr:row>
      <xdr:rowOff>118111</xdr:rowOff>
    </xdr:from>
    <xdr:ext cx="7410450" cy="2371724"/>
    <xdr:sp macro="" textlink="">
      <xdr:nvSpPr>
        <xdr:cNvPr id="2" name="Tekstvak 1">
          <a:extLst>
            <a:ext uri="{FF2B5EF4-FFF2-40B4-BE49-F238E27FC236}">
              <a16:creationId xmlns:a16="http://schemas.microsoft.com/office/drawing/2014/main" id="{00000000-0008-0000-0200-000002000000}"/>
            </a:ext>
          </a:extLst>
        </xdr:cNvPr>
        <xdr:cNvSpPr txBox="1">
          <a:spLocks noChangeAspect="1"/>
        </xdr:cNvSpPr>
      </xdr:nvSpPr>
      <xdr:spPr>
        <a:xfrm>
          <a:off x="361950" y="643891"/>
          <a:ext cx="7410450" cy="2371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noAutofit/>
        </a:bodyPr>
        <a:lstStyle/>
        <a:p>
          <a:r>
            <a:rPr lang="nl-NL" sz="950" b="1">
              <a:solidFill>
                <a:schemeClr val="dk1"/>
              </a:solidFill>
              <a:effectLst/>
              <a:latin typeface="Verdana" panose="020B0604030504040204" pitchFamily="34" charset="0"/>
              <a:ea typeface="Verdana" panose="020B0604030504040204" pitchFamily="34" charset="0"/>
              <a:cs typeface="Verdana" panose="020B0604030504040204" pitchFamily="34" charset="0"/>
            </a:rPr>
            <a:t>Toelichting </a:t>
          </a:r>
          <a:endPar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Bij de berekening van de voorschotten wordt het investeringsbedrag per mijlpaal gebruikt.</a:t>
          </a:r>
        </a:p>
        <a:p>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Vul de investeringskosten in per mijlpaal, conform het mijlpalenoverzicht in het projectplan:</a:t>
          </a:r>
        </a:p>
        <a:p>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 Vul eerst het investeringsbedrag in dat per mijlpaal benodigd is;</a:t>
          </a:r>
        </a:p>
        <a:p>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a:t>
          </a:r>
          <a:r>
            <a:rPr lang="nl-NL" sz="95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Het totaal aan investeringskosten moet gelijk zijn aan het totaal aan investeringskosten dat u op het tabblad 'investeringsbegroting' heeft opgegeven.</a:t>
          </a:r>
          <a:endPar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 Vul vervolgens onderaan de tabel de einddatum in waarop elke mijlpaal behaald moet zijn. Doe dit voor de gehele looptijd van het project en de einddatum van de laatste mijlpaalperiode moet overeenkomen</a:t>
          </a:r>
          <a:r>
            <a:rPr lang="nl-NL" sz="95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met de einddatum van de realisatie van het project</a:t>
          </a:r>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 De startdatum van de mijlpalen</a:t>
          </a:r>
          <a:r>
            <a:rPr lang="nl-NL" sz="95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verschijnt automatisch zodat mijlpaalperiodes niet kunnen overlappen.</a:t>
          </a:r>
        </a:p>
        <a:p>
          <a:pPr marL="0" marR="0" indent="0" defTabSz="914400" eaLnBrk="1" fontAlgn="auto" latinLnBrk="0" hangingPunct="1">
            <a:lnSpc>
              <a:spcPct val="100000"/>
            </a:lnSpc>
            <a:spcBef>
              <a:spcPts val="0"/>
            </a:spcBef>
            <a:spcAft>
              <a:spcPts val="0"/>
            </a:spcAft>
            <a:buClrTx/>
            <a:buSzTx/>
            <a:buFontTx/>
            <a:buNone/>
            <a:tabLst/>
            <a:defRPr/>
          </a:pPr>
          <a:r>
            <a:rPr lang="nl-NL" sz="950" i="0">
              <a:solidFill>
                <a:schemeClr val="dk1"/>
              </a:solidFill>
              <a:effectLst/>
              <a:latin typeface="Verdana" panose="020B0604030504040204" pitchFamily="34" charset="0"/>
              <a:ea typeface="+mn-ea"/>
              <a:cs typeface="+mn-cs"/>
            </a:rPr>
            <a:t>Het aantal mijlpalen staat niet vast en hoeft niet gelijk te lopen aan de kwartalen van een jaar. </a:t>
          </a:r>
        </a:p>
        <a:p>
          <a:pPr marL="0" marR="0" indent="0" defTabSz="914400" eaLnBrk="1" fontAlgn="auto" latinLnBrk="0" hangingPunct="1">
            <a:lnSpc>
              <a:spcPct val="100000"/>
            </a:lnSpc>
            <a:spcBef>
              <a:spcPts val="0"/>
            </a:spcBef>
            <a:spcAft>
              <a:spcPts val="0"/>
            </a:spcAft>
            <a:buClrTx/>
            <a:buSzTx/>
            <a:buFontTx/>
            <a:buNone/>
            <a:tabLst/>
            <a:defRPr/>
          </a:pPr>
          <a:endParaRPr lang="nl-NL" sz="950" baseline="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Ter indicatie wordt het totale voorschot per mijlpaalperiode aangegeven, hierbij wordt gebruik gemaakt van de door u ingevulde investeringskosten en de gevraagde subsidie (tabblad 'investeringsbegroting'). Bij verlening wordt het totale voorschotbedrag verdeeld over de betaalmomenten per kwartaal, binnen de betreffende mijlpaalperiode.</a:t>
          </a:r>
        </a:p>
        <a:p>
          <a:endPar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3876675</xdr:colOff>
      <xdr:row>0</xdr:row>
      <xdr:rowOff>0</xdr:rowOff>
    </xdr:from>
    <xdr:to>
      <xdr:col>0</xdr:col>
      <xdr:colOff>6340475</xdr:colOff>
      <xdr:row>0</xdr:row>
      <xdr:rowOff>1500215</xdr:rowOff>
    </xdr:to>
    <xdr:pic>
      <xdr:nvPicPr>
        <xdr:cNvPr id="2" name="Afbeelding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6675" y="0"/>
          <a:ext cx="2457450" cy="1490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14</xdr:row>
          <xdr:rowOff>28575</xdr:rowOff>
        </xdr:from>
        <xdr:to>
          <xdr:col>5</xdr:col>
          <xdr:colOff>19050</xdr:colOff>
          <xdr:row>16</xdr:row>
          <xdr:rowOff>142875</xdr:rowOff>
        </xdr:to>
        <xdr:sp macro="" textlink="">
          <xdr:nvSpPr>
            <xdr:cNvPr id="2049" name="List Box 1" descr="Kies uit de lijst 1 van de 3 mogelijkheden:&#10;Ja; Nee, aanvrager is kleine onderneming; Nee, aanvrager is startende onderneming"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1352550</xdr:colOff>
          <xdr:row>8</xdr:row>
          <xdr:rowOff>28575</xdr:rowOff>
        </xdr:from>
        <xdr:to>
          <xdr:col>5</xdr:col>
          <xdr:colOff>0</xdr:colOff>
          <xdr:row>8</xdr:row>
          <xdr:rowOff>323850</xdr:rowOff>
        </xdr:to>
        <xdr:sp macro="" textlink="">
          <xdr:nvSpPr>
            <xdr:cNvPr id="2052" name="List Box 4" descr="Kies uit de lijst 1 van de 2 mogelijkheden:&#10;Projectfinanciering; Balansfinanciering"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19050</xdr:colOff>
          <xdr:row>31</xdr:row>
          <xdr:rowOff>152400</xdr:rowOff>
        </xdr:from>
        <xdr:to>
          <xdr:col>10</xdr:col>
          <xdr:colOff>9525</xdr:colOff>
          <xdr:row>33</xdr:row>
          <xdr:rowOff>123825</xdr:rowOff>
        </xdr:to>
        <xdr:sp macro="" textlink="">
          <xdr:nvSpPr>
            <xdr:cNvPr id="4097" name="List Box 1" descr="kies uit de lijst 1 van de 2 mogelijkheden: Annuïteit; Lineair"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122p0620.cicwp.nl\8142-Userdata_P$\Investeringsbegroting%20(14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
      <sheetName val="Investeringsbegroting"/>
      <sheetName val="Mijlpalenbegroting"/>
    </sheetNames>
    <sheetDataSet>
      <sheetData sheetId="0"/>
      <sheetData sheetId="1">
        <row r="1">
          <cell r="D1" t="str">
            <v>Wordt door RVO.nl ingevuld</v>
          </cell>
        </row>
        <row r="3">
          <cell r="J3" t="str">
            <v>Groot bedrijf</v>
          </cell>
        </row>
        <row r="4">
          <cell r="J4" t="str">
            <v>Middelgroot bedrijf</v>
          </cell>
        </row>
        <row r="5">
          <cell r="J5" t="str">
            <v>Klein bedrijf</v>
          </cell>
        </row>
      </sheetData>
      <sheetData sheetId="2"/>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rvo.nl/subsidie-en-financieringswijzer/sde/aanvragen-sde/stappenplan-aanvragen-sde/bijlagen/haalbaarheidsstudie"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55079-E1A7-44C1-8823-30293440727A}">
  <sheetPr>
    <pageSetUpPr fitToPage="1"/>
  </sheetPr>
  <dimension ref="A1:AN66"/>
  <sheetViews>
    <sheetView showGridLines="0" tabSelected="1" zoomScaleNormal="100" zoomScaleSheetLayoutView="100" workbookViewId="0">
      <selection activeCell="W9" sqref="W9"/>
    </sheetView>
  </sheetViews>
  <sheetFormatPr defaultColWidth="9.140625" defaultRowHeight="12.75" x14ac:dyDescent="0.2"/>
  <cols>
    <col min="1" max="1" width="7.5703125" style="356" customWidth="1"/>
    <col min="2" max="2" width="6.42578125" style="121" customWidth="1"/>
    <col min="3" max="15" width="9.140625" style="121"/>
    <col min="16" max="16" width="17.140625" style="121" customWidth="1"/>
    <col min="17" max="17" width="8.5703125" style="121" customWidth="1"/>
    <col min="18" max="22" width="9.140625" style="121"/>
    <col min="23" max="39" width="9.140625" style="122"/>
    <col min="40" max="16384" width="9.140625" style="121"/>
  </cols>
  <sheetData>
    <row r="1" spans="1:40" ht="180" customHeight="1" x14ac:dyDescent="0.5">
      <c r="A1" s="371" t="s">
        <v>370</v>
      </c>
      <c r="C1" s="124"/>
      <c r="D1" s="123"/>
      <c r="E1" s="123"/>
      <c r="F1" s="123"/>
      <c r="G1" s="123"/>
      <c r="H1" s="123"/>
      <c r="I1" s="123"/>
      <c r="J1" s="123"/>
      <c r="K1" s="123"/>
      <c r="L1" s="123"/>
      <c r="M1" s="123"/>
      <c r="N1" s="123"/>
      <c r="O1" s="123"/>
      <c r="P1" s="123"/>
      <c r="Q1" s="123"/>
    </row>
    <row r="2" spans="1:40" ht="37.5" customHeight="1" x14ac:dyDescent="0.25">
      <c r="A2" s="359" t="s">
        <v>137</v>
      </c>
      <c r="C2" s="123"/>
      <c r="D2" s="123"/>
      <c r="E2" s="123"/>
      <c r="F2" s="123"/>
      <c r="G2" s="123"/>
      <c r="H2" s="123"/>
      <c r="I2" s="123"/>
      <c r="J2" s="123"/>
      <c r="K2" s="123"/>
      <c r="L2" s="123"/>
      <c r="M2" s="123"/>
      <c r="N2" s="123"/>
      <c r="O2" s="123"/>
      <c r="P2" s="123"/>
      <c r="Q2" s="123"/>
    </row>
    <row r="3" spans="1:40" ht="15" customHeight="1" x14ac:dyDescent="0.25">
      <c r="A3" s="360" t="s">
        <v>138</v>
      </c>
      <c r="B3" s="127"/>
      <c r="C3" s="126"/>
      <c r="D3" s="126"/>
      <c r="E3" s="127"/>
      <c r="F3" s="127"/>
      <c r="G3" s="127"/>
      <c r="H3" s="127"/>
      <c r="I3" s="127"/>
      <c r="J3" s="127"/>
      <c r="K3" s="127"/>
      <c r="L3" s="127"/>
      <c r="M3" s="127"/>
      <c r="N3" s="127"/>
      <c r="O3" s="127"/>
      <c r="P3" s="127"/>
      <c r="Q3" s="127"/>
      <c r="R3" s="128"/>
    </row>
    <row r="4" spans="1:40" ht="15" customHeight="1" x14ac:dyDescent="0.25">
      <c r="A4" s="359"/>
      <c r="B4" s="123"/>
      <c r="C4" s="123"/>
      <c r="D4" s="123"/>
      <c r="E4" s="129"/>
      <c r="F4" s="129"/>
      <c r="G4" s="129"/>
      <c r="H4" s="129"/>
      <c r="I4" s="129"/>
      <c r="J4" s="129"/>
      <c r="K4" s="129"/>
      <c r="L4" s="129"/>
      <c r="M4" s="129"/>
      <c r="N4" s="129"/>
      <c r="O4" s="129"/>
      <c r="P4" s="129"/>
      <c r="Q4" s="129"/>
    </row>
    <row r="5" spans="1:40" ht="15" customHeight="1" x14ac:dyDescent="0.25">
      <c r="A5" s="361" t="s">
        <v>139</v>
      </c>
      <c r="B5" s="129" t="s">
        <v>140</v>
      </c>
      <c r="C5" s="129"/>
      <c r="D5" s="123"/>
      <c r="E5" s="129"/>
      <c r="F5" s="129"/>
      <c r="G5" s="129"/>
      <c r="H5" s="129"/>
      <c r="I5" s="129"/>
      <c r="J5" s="129"/>
      <c r="K5" s="129"/>
      <c r="L5" s="129"/>
      <c r="M5" s="129"/>
      <c r="N5" s="129"/>
      <c r="O5" s="129"/>
      <c r="P5" s="129"/>
      <c r="Q5" s="129"/>
    </row>
    <row r="6" spans="1:40" ht="15" customHeight="1" x14ac:dyDescent="0.25">
      <c r="A6" s="362"/>
      <c r="B6" s="129" t="s">
        <v>141</v>
      </c>
      <c r="C6" s="129"/>
      <c r="D6" s="123"/>
      <c r="E6" s="129"/>
      <c r="F6" s="129"/>
      <c r="G6" s="129"/>
      <c r="H6" s="129"/>
      <c r="I6" s="129"/>
      <c r="J6" s="129"/>
      <c r="K6" s="129"/>
      <c r="L6" s="129"/>
      <c r="M6" s="129"/>
      <c r="N6" s="129"/>
      <c r="O6" s="129"/>
      <c r="P6" s="129"/>
      <c r="Q6" s="129"/>
    </row>
    <row r="7" spans="1:40" ht="15" customHeight="1" x14ac:dyDescent="0.2">
      <c r="A7" s="361" t="s">
        <v>139</v>
      </c>
      <c r="B7" s="129" t="s">
        <v>142</v>
      </c>
      <c r="C7" s="129"/>
      <c r="D7" s="129"/>
      <c r="E7" s="129"/>
      <c r="F7" s="129"/>
      <c r="G7" s="129"/>
      <c r="H7" s="129"/>
      <c r="I7" s="129"/>
      <c r="J7" s="129"/>
      <c r="K7" s="129"/>
      <c r="L7" s="129"/>
      <c r="M7" s="129"/>
      <c r="N7" s="129"/>
      <c r="O7" s="129"/>
      <c r="P7" s="129"/>
      <c r="Q7" s="129"/>
      <c r="R7" s="129"/>
      <c r="W7" s="121"/>
      <c r="AN7" s="122"/>
    </row>
    <row r="8" spans="1:40" ht="15" customHeight="1" x14ac:dyDescent="0.2">
      <c r="A8" s="361" t="s">
        <v>139</v>
      </c>
      <c r="B8" s="129" t="s">
        <v>143</v>
      </c>
      <c r="C8" s="129"/>
      <c r="D8" s="129"/>
      <c r="E8" s="129"/>
      <c r="F8" s="129"/>
      <c r="G8" s="129"/>
      <c r="H8" s="129"/>
      <c r="I8" s="129"/>
      <c r="J8" s="129"/>
      <c r="K8" s="129"/>
      <c r="L8" s="129"/>
      <c r="M8" s="129"/>
      <c r="N8" s="129"/>
      <c r="O8" s="129"/>
      <c r="P8" s="129"/>
      <c r="Q8" s="129"/>
    </row>
    <row r="9" spans="1:40" ht="15" customHeight="1" x14ac:dyDescent="0.2">
      <c r="A9" s="363"/>
      <c r="B9" s="131"/>
      <c r="C9" s="131"/>
      <c r="D9" s="131"/>
      <c r="E9" s="131"/>
      <c r="F9" s="131"/>
      <c r="G9" s="131"/>
      <c r="H9" s="131"/>
      <c r="I9" s="131"/>
      <c r="J9" s="131"/>
      <c r="K9" s="131"/>
      <c r="L9" s="131"/>
      <c r="M9" s="131"/>
      <c r="N9" s="131"/>
      <c r="O9" s="131"/>
      <c r="P9" s="131"/>
      <c r="Q9" s="129"/>
    </row>
    <row r="10" spans="1:40" ht="15" customHeight="1" x14ac:dyDescent="0.25">
      <c r="A10" s="360" t="s">
        <v>144</v>
      </c>
      <c r="B10" s="127"/>
      <c r="C10" s="127"/>
      <c r="D10" s="127"/>
      <c r="E10" s="127"/>
      <c r="F10" s="127"/>
      <c r="G10" s="127"/>
      <c r="H10" s="127"/>
      <c r="I10" s="127"/>
      <c r="J10" s="127"/>
      <c r="K10" s="127"/>
      <c r="L10" s="127"/>
      <c r="M10" s="127"/>
      <c r="N10" s="127"/>
      <c r="O10" s="127"/>
      <c r="P10" s="127"/>
      <c r="Q10" s="127"/>
      <c r="R10" s="128"/>
    </row>
    <row r="11" spans="1:40" ht="15" customHeight="1" x14ac:dyDescent="0.25">
      <c r="A11" s="364"/>
      <c r="B11" s="125"/>
      <c r="C11" s="125"/>
      <c r="D11" s="125"/>
      <c r="E11" s="125"/>
      <c r="F11" s="125"/>
      <c r="G11" s="125"/>
      <c r="H11" s="125"/>
      <c r="I11" s="125"/>
      <c r="J11" s="125"/>
      <c r="K11" s="125"/>
      <c r="L11" s="125"/>
      <c r="M11" s="125"/>
      <c r="N11" s="125"/>
      <c r="O11" s="125"/>
      <c r="P11" s="125"/>
      <c r="Q11" s="125"/>
    </row>
    <row r="12" spans="1:40" ht="15" customHeight="1" x14ac:dyDescent="0.25">
      <c r="A12" s="365" t="s">
        <v>197</v>
      </c>
      <c r="B12" s="125"/>
      <c r="C12" s="125"/>
      <c r="D12" s="125"/>
      <c r="E12" s="125"/>
      <c r="F12" s="125"/>
      <c r="G12" s="125"/>
      <c r="H12" s="125"/>
      <c r="I12" s="125"/>
      <c r="J12" s="125"/>
      <c r="K12" s="125"/>
      <c r="L12" s="125"/>
      <c r="M12" s="125"/>
      <c r="N12" s="125"/>
      <c r="O12" s="125"/>
      <c r="P12" s="125"/>
    </row>
    <row r="13" spans="1:40" ht="15" customHeight="1" x14ac:dyDescent="0.25">
      <c r="A13" s="363" t="s">
        <v>355</v>
      </c>
      <c r="B13" s="129"/>
      <c r="C13" s="129"/>
      <c r="D13" s="129"/>
      <c r="E13" s="129"/>
      <c r="F13" s="129"/>
      <c r="G13" s="129"/>
      <c r="H13" s="129"/>
      <c r="I13" s="129"/>
      <c r="J13" s="129"/>
      <c r="K13" s="129"/>
      <c r="L13" s="129"/>
      <c r="M13" s="129"/>
      <c r="N13" s="129"/>
      <c r="O13" s="129"/>
      <c r="P13" s="129"/>
    </row>
    <row r="14" spans="1:40" ht="15" customHeight="1" x14ac:dyDescent="0.2">
      <c r="A14" s="366" t="s">
        <v>145</v>
      </c>
      <c r="B14" s="129"/>
      <c r="C14" s="129"/>
      <c r="D14" s="129"/>
      <c r="E14" s="129"/>
      <c r="F14" s="129"/>
      <c r="G14" s="129"/>
      <c r="H14" s="129"/>
      <c r="I14" s="129"/>
      <c r="J14" s="129"/>
      <c r="K14" s="129"/>
      <c r="L14" s="129"/>
      <c r="M14" s="129"/>
      <c r="N14" s="129"/>
      <c r="O14" s="129"/>
      <c r="P14" s="129"/>
    </row>
    <row r="15" spans="1:40" ht="15" customHeight="1" x14ac:dyDescent="0.2">
      <c r="A15" s="366" t="s">
        <v>146</v>
      </c>
      <c r="B15" s="129"/>
      <c r="C15" s="129"/>
      <c r="D15" s="129"/>
      <c r="E15" s="129"/>
      <c r="F15" s="129"/>
      <c r="G15" s="129"/>
      <c r="H15" s="129"/>
      <c r="I15" s="129"/>
      <c r="J15" s="129"/>
      <c r="K15" s="129"/>
      <c r="L15" s="129"/>
      <c r="M15" s="129"/>
      <c r="N15" s="129"/>
      <c r="O15" s="129"/>
      <c r="P15" s="129"/>
    </row>
    <row r="16" spans="1:40" ht="15" customHeight="1" x14ac:dyDescent="0.2">
      <c r="A16" s="366" t="s">
        <v>147</v>
      </c>
      <c r="B16" s="129"/>
      <c r="C16" s="129"/>
      <c r="D16" s="129"/>
      <c r="E16" s="129"/>
      <c r="F16" s="129"/>
      <c r="G16" s="129"/>
      <c r="H16" s="129"/>
      <c r="I16" s="129"/>
      <c r="J16" s="129"/>
      <c r="K16" s="129"/>
      <c r="L16" s="129"/>
      <c r="M16" s="129"/>
      <c r="N16" s="129"/>
      <c r="O16" s="129"/>
      <c r="P16" s="129"/>
    </row>
    <row r="17" spans="1:39" ht="15" customHeight="1" x14ac:dyDescent="0.2">
      <c r="A17" s="366" t="s">
        <v>148</v>
      </c>
      <c r="B17" s="129"/>
      <c r="C17" s="129"/>
      <c r="D17" s="129"/>
      <c r="E17" s="129"/>
      <c r="F17" s="129"/>
      <c r="G17" s="129"/>
      <c r="H17" s="129"/>
      <c r="I17" s="129"/>
      <c r="J17" s="129"/>
      <c r="K17" s="129"/>
      <c r="L17" s="129"/>
      <c r="M17" s="129"/>
      <c r="N17" s="129"/>
      <c r="O17" s="129"/>
      <c r="P17" s="129"/>
    </row>
    <row r="18" spans="1:39" ht="15" customHeight="1" x14ac:dyDescent="0.2">
      <c r="A18" s="363"/>
      <c r="B18" s="132"/>
      <c r="C18" s="125"/>
      <c r="D18" s="125"/>
      <c r="E18" s="125"/>
      <c r="F18" s="125"/>
      <c r="G18" s="125"/>
      <c r="H18" s="125"/>
      <c r="I18" s="125"/>
      <c r="J18" s="125"/>
      <c r="K18" s="125"/>
      <c r="L18" s="125"/>
      <c r="M18" s="125"/>
      <c r="N18" s="125"/>
      <c r="O18" s="125"/>
      <c r="P18" s="125"/>
      <c r="Q18" s="125"/>
      <c r="V18" s="122"/>
      <c r="AM18" s="121"/>
    </row>
    <row r="19" spans="1:39" ht="15" customHeight="1" x14ac:dyDescent="0.25">
      <c r="A19" s="360" t="s">
        <v>149</v>
      </c>
      <c r="B19" s="127"/>
      <c r="C19" s="127"/>
      <c r="D19" s="127"/>
      <c r="E19" s="127"/>
      <c r="F19" s="127"/>
      <c r="G19" s="127"/>
      <c r="H19" s="127"/>
      <c r="I19" s="127"/>
      <c r="J19" s="127"/>
      <c r="K19" s="127"/>
      <c r="L19" s="127"/>
      <c r="M19" s="127"/>
      <c r="N19" s="127"/>
      <c r="O19" s="127"/>
      <c r="P19" s="127"/>
      <c r="Q19" s="127"/>
      <c r="R19" s="128"/>
      <c r="V19" s="122"/>
      <c r="AM19" s="121"/>
    </row>
    <row r="20" spans="1:39" ht="15" customHeight="1" x14ac:dyDescent="0.25">
      <c r="A20" s="359"/>
      <c r="B20" s="129"/>
      <c r="C20" s="129"/>
      <c r="D20" s="129"/>
      <c r="E20" s="129"/>
      <c r="F20" s="129"/>
      <c r="G20" s="129"/>
      <c r="H20" s="129"/>
      <c r="I20" s="129"/>
      <c r="J20" s="129"/>
      <c r="K20" s="129"/>
      <c r="L20" s="129"/>
      <c r="M20" s="129"/>
      <c r="N20" s="129"/>
      <c r="O20" s="129"/>
      <c r="P20" s="129"/>
      <c r="Q20" s="129"/>
      <c r="V20" s="122"/>
      <c r="AM20" s="121"/>
    </row>
    <row r="21" spans="1:39" ht="15" customHeight="1" x14ac:dyDescent="0.2">
      <c r="A21" s="363" t="s">
        <v>150</v>
      </c>
      <c r="B21" s="129"/>
      <c r="C21" s="129"/>
      <c r="D21" s="129"/>
      <c r="E21" s="129"/>
      <c r="F21" s="129"/>
      <c r="G21" s="129"/>
      <c r="H21" s="129"/>
      <c r="I21" s="129"/>
      <c r="J21" s="129"/>
      <c r="K21" s="129"/>
      <c r="L21" s="129"/>
      <c r="M21" s="129"/>
      <c r="N21" s="129"/>
      <c r="O21" s="129"/>
      <c r="P21" s="129"/>
      <c r="Q21" s="129"/>
      <c r="V21" s="122"/>
      <c r="AM21" s="121"/>
    </row>
    <row r="22" spans="1:39" ht="15" customHeight="1" x14ac:dyDescent="0.2">
      <c r="A22" s="361" t="s">
        <v>139</v>
      </c>
      <c r="B22" s="129" t="s">
        <v>151</v>
      </c>
      <c r="C22" s="129"/>
      <c r="D22" s="129"/>
      <c r="E22" s="129"/>
      <c r="F22" s="129"/>
      <c r="G22" s="129"/>
      <c r="H22" s="129"/>
      <c r="I22" s="129"/>
      <c r="J22" s="129"/>
      <c r="K22" s="129"/>
      <c r="L22" s="129"/>
      <c r="M22" s="129"/>
      <c r="N22" s="129"/>
      <c r="O22" s="129"/>
      <c r="P22" s="129"/>
      <c r="Q22" s="129"/>
      <c r="V22" s="122"/>
      <c r="AM22" s="121"/>
    </row>
    <row r="23" spans="1:39" ht="15" customHeight="1" x14ac:dyDescent="0.2">
      <c r="A23" s="361" t="s">
        <v>139</v>
      </c>
      <c r="B23" s="129" t="s">
        <v>152</v>
      </c>
      <c r="C23" s="129"/>
      <c r="D23" s="129"/>
      <c r="E23" s="129"/>
      <c r="F23" s="129"/>
      <c r="G23" s="129"/>
      <c r="H23" s="129"/>
      <c r="I23" s="129"/>
      <c r="J23" s="129"/>
      <c r="K23" s="129"/>
      <c r="L23" s="129"/>
      <c r="M23" s="129"/>
      <c r="N23" s="129"/>
      <c r="O23" s="129"/>
      <c r="P23" s="129"/>
      <c r="Q23" s="129"/>
    </row>
    <row r="24" spans="1:39" ht="15" customHeight="1" x14ac:dyDescent="0.2">
      <c r="A24" s="361" t="s">
        <v>139</v>
      </c>
      <c r="B24" s="129" t="s">
        <v>153</v>
      </c>
      <c r="C24" s="129"/>
      <c r="D24" s="129"/>
      <c r="E24" s="129"/>
      <c r="F24" s="129"/>
      <c r="G24" s="129"/>
      <c r="H24" s="129"/>
      <c r="I24" s="129"/>
      <c r="J24" s="129"/>
      <c r="K24" s="129"/>
      <c r="L24" s="129"/>
      <c r="M24" s="129"/>
      <c r="N24" s="129"/>
      <c r="O24" s="129"/>
      <c r="P24" s="129"/>
      <c r="Q24" s="129"/>
    </row>
    <row r="25" spans="1:39" ht="15" customHeight="1" x14ac:dyDescent="0.2">
      <c r="A25" s="367"/>
      <c r="B25" s="129"/>
      <c r="C25" s="129"/>
      <c r="D25" s="129"/>
      <c r="E25" s="129"/>
      <c r="F25" s="129"/>
      <c r="G25" s="129"/>
      <c r="H25" s="129"/>
      <c r="I25" s="129"/>
      <c r="J25" s="129"/>
      <c r="K25" s="129"/>
      <c r="L25" s="129"/>
      <c r="M25" s="129"/>
      <c r="N25" s="129"/>
      <c r="O25" s="129"/>
      <c r="P25" s="129"/>
      <c r="Q25" s="129"/>
    </row>
    <row r="26" spans="1:39" ht="15" customHeight="1" x14ac:dyDescent="0.2">
      <c r="A26" s="363" t="s">
        <v>154</v>
      </c>
      <c r="B26" s="129"/>
      <c r="C26" s="129"/>
      <c r="D26" s="129"/>
      <c r="E26" s="129"/>
      <c r="F26" s="129"/>
      <c r="G26" s="129"/>
      <c r="H26" s="129"/>
      <c r="I26" s="129"/>
      <c r="J26" s="129"/>
      <c r="K26" s="129"/>
      <c r="L26" s="129"/>
      <c r="M26" s="129"/>
      <c r="N26" s="129"/>
      <c r="O26" s="129"/>
      <c r="P26" s="129"/>
      <c r="Q26" s="129"/>
    </row>
    <row r="27" spans="1:39" ht="15" customHeight="1" x14ac:dyDescent="0.2">
      <c r="A27" s="363"/>
      <c r="B27" s="129"/>
      <c r="C27" s="129"/>
      <c r="D27" s="129"/>
      <c r="E27" s="129"/>
      <c r="F27" s="129"/>
      <c r="G27" s="129"/>
      <c r="H27" s="129"/>
      <c r="I27" s="129"/>
      <c r="J27" s="129"/>
      <c r="K27" s="129"/>
      <c r="L27" s="129"/>
      <c r="M27" s="129"/>
      <c r="N27" s="129"/>
      <c r="O27" s="129"/>
      <c r="P27" s="129"/>
      <c r="Q27" s="129"/>
    </row>
    <row r="28" spans="1:39" ht="15" customHeight="1" x14ac:dyDescent="0.25">
      <c r="A28" s="368" t="s">
        <v>356</v>
      </c>
      <c r="B28" s="135"/>
      <c r="C28" s="135"/>
      <c r="D28" s="135"/>
      <c r="E28" s="135"/>
      <c r="F28" s="135"/>
      <c r="G28" s="135"/>
      <c r="H28" s="135"/>
      <c r="I28" s="135"/>
      <c r="J28" s="135"/>
      <c r="K28" s="135"/>
      <c r="L28" s="135"/>
      <c r="M28" s="135"/>
      <c r="N28" s="135"/>
      <c r="O28" s="135"/>
      <c r="P28" s="135"/>
      <c r="Q28" s="135"/>
      <c r="R28" s="128"/>
    </row>
    <row r="29" spans="1:39" ht="15" customHeight="1" x14ac:dyDescent="0.25">
      <c r="A29" s="369"/>
      <c r="B29" s="136"/>
      <c r="C29" s="136"/>
      <c r="D29" s="136"/>
      <c r="E29" s="136"/>
      <c r="F29" s="136"/>
      <c r="G29" s="136"/>
      <c r="H29" s="136"/>
      <c r="I29" s="136"/>
      <c r="J29" s="136"/>
      <c r="K29" s="136"/>
      <c r="L29" s="136"/>
      <c r="M29" s="136"/>
      <c r="N29" s="136"/>
      <c r="O29" s="136"/>
      <c r="P29" s="136"/>
      <c r="Q29" s="136"/>
    </row>
    <row r="30" spans="1:39" ht="15" customHeight="1" x14ac:dyDescent="0.25">
      <c r="A30" s="369" t="s">
        <v>359</v>
      </c>
      <c r="B30" s="136"/>
      <c r="C30" s="136"/>
      <c r="D30" s="136"/>
      <c r="E30" s="136"/>
      <c r="F30" s="136"/>
      <c r="G30" s="136"/>
      <c r="H30" s="136"/>
      <c r="I30" s="136"/>
      <c r="J30" s="136"/>
      <c r="K30" s="136"/>
      <c r="L30" s="136"/>
      <c r="M30" s="136"/>
      <c r="N30" s="136"/>
      <c r="O30" s="136"/>
      <c r="P30" s="136"/>
      <c r="Q30" s="136"/>
    </row>
    <row r="31" spans="1:39" ht="15" customHeight="1" x14ac:dyDescent="0.25">
      <c r="A31" s="369" t="s">
        <v>198</v>
      </c>
      <c r="B31" s="136"/>
      <c r="C31" s="136"/>
      <c r="D31" s="136"/>
      <c r="E31" s="136"/>
      <c r="F31" s="136"/>
      <c r="G31" s="136"/>
      <c r="H31" s="136"/>
      <c r="I31" s="136"/>
      <c r="J31" s="136"/>
      <c r="K31" s="136"/>
      <c r="L31" s="136"/>
      <c r="M31" s="136"/>
      <c r="N31" s="136"/>
      <c r="O31" s="136"/>
      <c r="P31" s="136"/>
      <c r="Q31" s="136"/>
    </row>
    <row r="32" spans="1:39" ht="15" customHeight="1" x14ac:dyDescent="0.25">
      <c r="A32" s="369" t="s">
        <v>199</v>
      </c>
      <c r="B32" s="129"/>
      <c r="C32" s="129"/>
      <c r="D32" s="129"/>
      <c r="E32" s="129"/>
      <c r="F32" s="129"/>
      <c r="G32" s="129"/>
      <c r="H32" s="129"/>
      <c r="I32" s="129"/>
      <c r="J32" s="129"/>
      <c r="K32" s="129"/>
      <c r="L32" s="129"/>
      <c r="M32" s="129"/>
      <c r="N32" s="129"/>
      <c r="O32" s="129"/>
      <c r="P32" s="129"/>
      <c r="Q32" s="129"/>
    </row>
    <row r="33" spans="1:18" ht="15" customHeight="1" x14ac:dyDescent="0.25">
      <c r="A33" s="369"/>
      <c r="B33" s="129"/>
      <c r="C33" s="129"/>
      <c r="D33" s="129"/>
      <c r="E33" s="129"/>
      <c r="F33" s="129"/>
      <c r="G33" s="129"/>
      <c r="H33" s="129"/>
      <c r="I33" s="129"/>
      <c r="J33" s="129"/>
      <c r="K33" s="129"/>
      <c r="L33" s="129"/>
      <c r="M33" s="129"/>
      <c r="N33" s="129"/>
      <c r="O33" s="129"/>
      <c r="P33" s="129"/>
      <c r="Q33" s="129"/>
    </row>
    <row r="34" spans="1:18" ht="15" customHeight="1" x14ac:dyDescent="0.25">
      <c r="A34" s="368" t="s">
        <v>357</v>
      </c>
      <c r="B34" s="135"/>
      <c r="C34" s="135"/>
      <c r="D34" s="135"/>
      <c r="E34" s="135"/>
      <c r="F34" s="135"/>
      <c r="G34" s="135"/>
      <c r="H34" s="135"/>
      <c r="I34" s="135"/>
      <c r="J34" s="135"/>
      <c r="K34" s="135"/>
      <c r="L34" s="135"/>
      <c r="M34" s="135"/>
      <c r="N34" s="135"/>
      <c r="O34" s="135"/>
      <c r="P34" s="135"/>
      <c r="Q34" s="135"/>
      <c r="R34" s="128"/>
    </row>
    <row r="35" spans="1:18" ht="15" customHeight="1" x14ac:dyDescent="0.25">
      <c r="A35" s="369"/>
      <c r="B35" s="136"/>
      <c r="C35" s="136"/>
      <c r="D35" s="136"/>
      <c r="E35" s="136"/>
      <c r="F35" s="136"/>
      <c r="G35" s="136"/>
      <c r="H35" s="136"/>
      <c r="I35" s="136"/>
      <c r="J35" s="136"/>
      <c r="K35" s="136"/>
      <c r="L35" s="136"/>
      <c r="M35" s="136"/>
      <c r="N35" s="136"/>
      <c r="O35" s="136"/>
      <c r="P35" s="136"/>
      <c r="Q35" s="136"/>
    </row>
    <row r="36" spans="1:18" ht="15" customHeight="1" x14ac:dyDescent="0.25">
      <c r="A36" s="369" t="s">
        <v>358</v>
      </c>
      <c r="B36" s="136"/>
      <c r="C36" s="136"/>
      <c r="D36" s="136"/>
      <c r="E36" s="136"/>
      <c r="F36" s="136"/>
      <c r="G36" s="136"/>
      <c r="H36" s="136"/>
      <c r="I36" s="136"/>
      <c r="J36" s="136"/>
      <c r="K36" s="136"/>
      <c r="L36" s="136"/>
      <c r="M36" s="136"/>
      <c r="N36" s="136"/>
      <c r="O36" s="136"/>
      <c r="P36" s="136"/>
      <c r="Q36" s="136"/>
    </row>
    <row r="37" spans="1:18" ht="15" customHeight="1" x14ac:dyDescent="0.25">
      <c r="A37" s="369" t="s">
        <v>324</v>
      </c>
      <c r="B37" s="136"/>
      <c r="C37" s="136"/>
      <c r="D37" s="136"/>
      <c r="E37" s="136"/>
      <c r="F37" s="136"/>
      <c r="G37" s="136"/>
      <c r="H37" s="136"/>
      <c r="I37" s="136"/>
      <c r="J37" s="136"/>
      <c r="K37" s="136"/>
      <c r="L37" s="136"/>
      <c r="M37" s="136"/>
      <c r="N37" s="136"/>
      <c r="O37" s="136"/>
      <c r="P37" s="136"/>
      <c r="Q37" s="136"/>
    </row>
    <row r="38" spans="1:18" ht="15" customHeight="1" x14ac:dyDescent="0.25">
      <c r="A38" s="369"/>
      <c r="B38" s="136"/>
      <c r="C38" s="136"/>
      <c r="D38" s="136"/>
      <c r="E38" s="136"/>
      <c r="F38" s="136"/>
      <c r="G38" s="136"/>
      <c r="H38" s="136"/>
      <c r="I38" s="136"/>
      <c r="J38" s="136"/>
      <c r="K38" s="136"/>
      <c r="L38" s="136"/>
      <c r="M38" s="136"/>
      <c r="N38" s="136"/>
      <c r="O38" s="136"/>
      <c r="P38" s="136"/>
      <c r="Q38" s="136"/>
    </row>
    <row r="39" spans="1:18" s="137" customFormat="1" ht="15" customHeight="1" x14ac:dyDescent="0.25">
      <c r="A39" s="368" t="s">
        <v>155</v>
      </c>
      <c r="B39" s="135"/>
      <c r="C39" s="135"/>
      <c r="D39" s="135"/>
      <c r="E39" s="135"/>
      <c r="F39" s="135"/>
      <c r="G39" s="135"/>
      <c r="H39" s="135"/>
      <c r="I39" s="135"/>
      <c r="J39" s="135"/>
      <c r="K39" s="135"/>
      <c r="L39" s="135"/>
      <c r="M39" s="135"/>
      <c r="N39" s="135"/>
      <c r="O39" s="135"/>
      <c r="P39" s="135"/>
      <c r="Q39" s="135"/>
      <c r="R39" s="134"/>
    </row>
    <row r="40" spans="1:18" ht="15" customHeight="1" x14ac:dyDescent="0.2">
      <c r="A40" s="370"/>
      <c r="B40" s="129"/>
      <c r="C40" s="129"/>
      <c r="D40" s="129"/>
      <c r="E40" s="129"/>
      <c r="F40" s="129"/>
      <c r="G40" s="129"/>
      <c r="H40" s="129"/>
      <c r="I40" s="129"/>
      <c r="J40" s="129"/>
      <c r="K40" s="129"/>
      <c r="L40" s="129"/>
      <c r="M40" s="129"/>
      <c r="N40" s="129"/>
      <c r="O40" s="129"/>
      <c r="P40" s="129"/>
      <c r="Q40" s="129"/>
    </row>
    <row r="41" spans="1:18" ht="15" customHeight="1" x14ac:dyDescent="0.2">
      <c r="A41" s="363" t="s">
        <v>156</v>
      </c>
      <c r="B41" s="129"/>
      <c r="C41" s="129"/>
      <c r="D41" s="129"/>
      <c r="E41" s="129"/>
      <c r="F41" s="129"/>
      <c r="G41" s="129"/>
      <c r="H41" s="129"/>
      <c r="I41" s="129"/>
      <c r="J41" s="129"/>
      <c r="K41" s="129"/>
      <c r="L41" s="129"/>
      <c r="M41" s="129"/>
      <c r="N41" s="129"/>
      <c r="O41" s="129"/>
      <c r="P41" s="129"/>
      <c r="Q41" s="129"/>
    </row>
    <row r="42" spans="1:18" ht="15" customHeight="1" x14ac:dyDescent="0.2">
      <c r="A42" s="363" t="s">
        <v>157</v>
      </c>
      <c r="B42" s="129"/>
      <c r="C42" s="129"/>
      <c r="D42" s="129"/>
      <c r="E42" s="129"/>
      <c r="F42" s="129"/>
      <c r="G42" s="129"/>
      <c r="H42" s="129"/>
      <c r="I42" s="129"/>
      <c r="J42" s="129"/>
      <c r="K42" s="129"/>
      <c r="L42" s="129"/>
      <c r="M42" s="129"/>
      <c r="N42" s="129"/>
      <c r="O42" s="129"/>
      <c r="P42" s="129"/>
      <c r="Q42" s="129"/>
    </row>
    <row r="43" spans="1:18" ht="15" customHeight="1" x14ac:dyDescent="0.25">
      <c r="A43" s="363" t="s">
        <v>158</v>
      </c>
      <c r="B43" s="136"/>
      <c r="C43" s="136"/>
      <c r="D43" s="136"/>
      <c r="E43" s="136"/>
      <c r="F43" s="136"/>
      <c r="G43" s="136"/>
      <c r="H43" s="136"/>
      <c r="I43" s="136"/>
      <c r="J43" s="136"/>
      <c r="K43" s="136"/>
      <c r="L43" s="136"/>
      <c r="M43" s="136"/>
      <c r="N43" s="136"/>
      <c r="O43" s="136"/>
      <c r="P43" s="136"/>
      <c r="Q43" s="136"/>
    </row>
    <row r="44" spans="1:18" ht="15" customHeight="1" x14ac:dyDescent="0.25">
      <c r="A44" s="369"/>
      <c r="B44" s="129"/>
      <c r="C44" s="129"/>
      <c r="D44" s="129"/>
      <c r="E44" s="129"/>
      <c r="F44" s="129"/>
      <c r="G44" s="129"/>
      <c r="H44" s="129"/>
      <c r="I44" s="129"/>
      <c r="J44" s="129"/>
      <c r="K44" s="129"/>
      <c r="L44" s="129"/>
      <c r="M44" s="129"/>
      <c r="N44" s="129"/>
      <c r="O44" s="129"/>
      <c r="P44" s="129"/>
      <c r="Q44" s="129"/>
    </row>
    <row r="45" spans="1:18" ht="15" customHeight="1" x14ac:dyDescent="0.2">
      <c r="A45" s="354"/>
      <c r="B45" s="129"/>
      <c r="C45" s="129"/>
      <c r="D45" s="129"/>
      <c r="E45" s="129"/>
      <c r="F45" s="129"/>
      <c r="G45" s="129"/>
      <c r="H45" s="129"/>
      <c r="I45" s="129"/>
      <c r="J45" s="129"/>
      <c r="K45" s="129"/>
      <c r="L45" s="129"/>
      <c r="M45" s="129"/>
      <c r="N45" s="129"/>
      <c r="O45" s="129"/>
      <c r="P45" s="129"/>
      <c r="Q45" s="129"/>
    </row>
    <row r="46" spans="1:18" ht="15" customHeight="1" x14ac:dyDescent="0.2">
      <c r="A46" s="357"/>
      <c r="B46" s="129"/>
      <c r="C46" s="129"/>
      <c r="D46" s="129"/>
      <c r="E46" s="129"/>
      <c r="F46" s="389"/>
      <c r="G46" s="389"/>
      <c r="H46" s="389"/>
      <c r="I46" s="389"/>
      <c r="J46" s="389"/>
      <c r="K46" s="389"/>
      <c r="L46" s="389"/>
      <c r="M46" s="389"/>
      <c r="N46" s="129"/>
      <c r="O46" s="129"/>
      <c r="P46" s="129"/>
      <c r="Q46" s="129"/>
    </row>
    <row r="47" spans="1:18" ht="15" customHeight="1" x14ac:dyDescent="0.2">
      <c r="A47" s="357"/>
      <c r="B47" s="88"/>
      <c r="C47" s="129"/>
      <c r="D47" s="129"/>
      <c r="E47" s="129"/>
      <c r="F47" s="129"/>
      <c r="G47" s="129"/>
      <c r="H47" s="129"/>
      <c r="I47" s="129"/>
      <c r="J47" s="129"/>
      <c r="K47" s="129"/>
      <c r="L47" s="129"/>
      <c r="M47" s="129"/>
      <c r="N47" s="129"/>
      <c r="O47" s="129"/>
      <c r="P47" s="129"/>
      <c r="Q47" s="129"/>
    </row>
    <row r="48" spans="1:18" ht="15" customHeight="1" x14ac:dyDescent="0.2">
      <c r="A48" s="357"/>
      <c r="B48" s="129"/>
      <c r="C48" s="129"/>
      <c r="D48" s="129"/>
      <c r="E48" s="129"/>
      <c r="F48" s="129"/>
      <c r="G48" s="129"/>
      <c r="H48" s="129"/>
      <c r="I48" s="129"/>
      <c r="J48" s="129"/>
      <c r="K48" s="129"/>
      <c r="L48" s="129"/>
      <c r="M48" s="129"/>
      <c r="N48" s="129"/>
      <c r="O48" s="129"/>
      <c r="P48" s="129"/>
      <c r="Q48" s="129"/>
    </row>
    <row r="49" spans="1:17" ht="15" customHeight="1" x14ac:dyDescent="0.2">
      <c r="A49" s="355"/>
      <c r="B49" s="129"/>
      <c r="C49" s="129"/>
      <c r="D49" s="129"/>
      <c r="E49" s="129"/>
      <c r="F49" s="129"/>
      <c r="G49" s="129"/>
      <c r="H49" s="129"/>
      <c r="I49" s="129"/>
      <c r="J49" s="129"/>
      <c r="K49" s="129"/>
      <c r="L49" s="129"/>
      <c r="M49" s="129"/>
      <c r="N49" s="129"/>
      <c r="O49" s="129"/>
      <c r="P49" s="129"/>
      <c r="Q49" s="129"/>
    </row>
    <row r="50" spans="1:17" ht="15" customHeight="1" x14ac:dyDescent="0.2">
      <c r="A50" s="355"/>
      <c r="B50" s="129"/>
      <c r="C50" s="129"/>
      <c r="D50" s="129"/>
      <c r="E50" s="129"/>
      <c r="F50" s="129"/>
      <c r="G50" s="129"/>
      <c r="H50" s="129"/>
      <c r="I50" s="129"/>
      <c r="J50" s="129"/>
      <c r="K50" s="129"/>
      <c r="L50" s="129"/>
      <c r="M50" s="129"/>
      <c r="N50" s="129"/>
      <c r="O50" s="129"/>
      <c r="P50" s="129"/>
      <c r="Q50" s="129"/>
    </row>
    <row r="51" spans="1:17" ht="15" customHeight="1" x14ac:dyDescent="0.2">
      <c r="A51" s="358"/>
      <c r="B51" s="129"/>
      <c r="C51" s="129"/>
      <c r="D51" s="129"/>
      <c r="E51" s="129"/>
      <c r="F51" s="129"/>
      <c r="G51" s="129"/>
      <c r="H51" s="129"/>
      <c r="I51" s="129"/>
      <c r="J51" s="129"/>
      <c r="K51" s="129"/>
      <c r="L51" s="129"/>
      <c r="M51" s="129"/>
      <c r="N51" s="129"/>
      <c r="O51" s="129"/>
      <c r="P51" s="129"/>
      <c r="Q51" s="129"/>
    </row>
    <row r="52" spans="1:17" ht="15" customHeight="1" x14ac:dyDescent="0.2">
      <c r="A52" s="355"/>
      <c r="B52" s="129"/>
      <c r="C52" s="129"/>
      <c r="D52" s="129"/>
      <c r="E52" s="129"/>
      <c r="F52" s="129"/>
      <c r="G52" s="129"/>
      <c r="H52" s="129"/>
      <c r="I52" s="129"/>
      <c r="J52" s="129"/>
      <c r="K52" s="129"/>
      <c r="L52" s="129"/>
      <c r="M52" s="129"/>
      <c r="N52" s="129"/>
      <c r="O52" s="129"/>
      <c r="P52" s="129"/>
      <c r="Q52" s="129"/>
    </row>
    <row r="53" spans="1:17" ht="15" customHeight="1" x14ac:dyDescent="0.2">
      <c r="A53" s="355"/>
      <c r="B53" s="129"/>
      <c r="C53" s="129"/>
      <c r="D53" s="129"/>
      <c r="E53" s="129"/>
      <c r="F53" s="129"/>
      <c r="G53" s="129"/>
      <c r="H53" s="129"/>
      <c r="I53" s="129"/>
      <c r="J53" s="129"/>
      <c r="K53" s="129"/>
      <c r="L53" s="129"/>
      <c r="M53" s="129"/>
      <c r="N53" s="129"/>
      <c r="O53" s="129"/>
      <c r="P53" s="129"/>
      <c r="Q53" s="129"/>
    </row>
    <row r="54" spans="1:17" ht="15" customHeight="1" x14ac:dyDescent="0.2">
      <c r="A54" s="355"/>
      <c r="B54" s="129"/>
      <c r="C54" s="129"/>
      <c r="D54" s="129"/>
      <c r="E54" s="129"/>
      <c r="F54" s="129"/>
      <c r="G54" s="129"/>
      <c r="H54" s="129"/>
      <c r="I54" s="129"/>
      <c r="J54" s="129"/>
      <c r="K54" s="129"/>
      <c r="L54" s="129"/>
      <c r="M54" s="129"/>
      <c r="N54" s="129"/>
      <c r="O54" s="129"/>
      <c r="P54" s="129"/>
      <c r="Q54" s="129"/>
    </row>
    <row r="55" spans="1:17" ht="15" customHeight="1" x14ac:dyDescent="0.2">
      <c r="A55" s="358"/>
      <c r="B55" s="129"/>
      <c r="C55" s="129"/>
      <c r="D55" s="129"/>
      <c r="E55" s="129"/>
      <c r="F55" s="129"/>
      <c r="G55" s="129"/>
      <c r="H55" s="129"/>
      <c r="I55" s="129"/>
      <c r="J55" s="129"/>
      <c r="K55" s="129"/>
      <c r="L55" s="129"/>
      <c r="M55" s="129"/>
      <c r="N55" s="129"/>
      <c r="O55" s="129"/>
      <c r="P55" s="129"/>
      <c r="Q55" s="129"/>
    </row>
    <row r="56" spans="1:17" ht="15" customHeight="1" x14ac:dyDescent="0.2">
      <c r="A56" s="355"/>
      <c r="B56" s="129"/>
      <c r="C56" s="129"/>
      <c r="D56" s="129"/>
      <c r="E56" s="129"/>
      <c r="F56" s="129"/>
      <c r="G56" s="129"/>
      <c r="H56" s="129"/>
      <c r="I56" s="129"/>
      <c r="J56" s="129"/>
      <c r="K56" s="129"/>
      <c r="L56" s="129"/>
      <c r="M56" s="129"/>
      <c r="N56" s="129"/>
      <c r="O56" s="129"/>
      <c r="P56" s="129"/>
      <c r="Q56" s="129"/>
    </row>
    <row r="57" spans="1:17" ht="15" customHeight="1" x14ac:dyDescent="0.2">
      <c r="A57" s="355"/>
      <c r="B57" s="129"/>
      <c r="C57" s="129"/>
      <c r="D57" s="129"/>
      <c r="E57" s="129"/>
      <c r="F57" s="129"/>
      <c r="G57" s="129"/>
      <c r="H57" s="129"/>
      <c r="I57" s="129"/>
      <c r="J57" s="129"/>
      <c r="K57" s="129"/>
      <c r="L57" s="129"/>
      <c r="M57" s="129"/>
      <c r="N57" s="129"/>
      <c r="O57" s="129"/>
      <c r="P57" s="129"/>
      <c r="Q57" s="129"/>
    </row>
    <row r="58" spans="1:17" ht="15" customHeight="1" x14ac:dyDescent="0.2">
      <c r="A58" s="355"/>
      <c r="B58" s="129"/>
      <c r="C58" s="129"/>
      <c r="D58" s="129"/>
      <c r="E58" s="129"/>
      <c r="F58" s="129"/>
      <c r="G58" s="129"/>
      <c r="H58" s="129"/>
      <c r="I58" s="129"/>
      <c r="J58" s="129"/>
      <c r="K58" s="129"/>
      <c r="L58" s="129"/>
      <c r="M58" s="129"/>
      <c r="N58" s="129"/>
      <c r="O58" s="129"/>
      <c r="P58" s="129"/>
      <c r="Q58" s="129"/>
    </row>
    <row r="59" spans="1:17" ht="15" customHeight="1" x14ac:dyDescent="0.2">
      <c r="A59" s="355"/>
      <c r="B59" s="129"/>
      <c r="C59" s="129"/>
      <c r="D59" s="129"/>
      <c r="E59" s="129"/>
      <c r="F59" s="129"/>
      <c r="G59" s="129"/>
      <c r="H59" s="129"/>
      <c r="I59" s="129"/>
      <c r="J59" s="129"/>
      <c r="K59" s="129"/>
      <c r="L59" s="129"/>
      <c r="M59" s="129"/>
      <c r="N59" s="129"/>
      <c r="O59" s="129"/>
      <c r="P59" s="129"/>
      <c r="Q59" s="129"/>
    </row>
    <row r="60" spans="1:17" ht="15" customHeight="1" x14ac:dyDescent="0.2">
      <c r="A60" s="355"/>
      <c r="B60" s="129"/>
      <c r="C60" s="129"/>
      <c r="D60" s="129"/>
      <c r="E60" s="129"/>
      <c r="F60" s="129"/>
      <c r="G60" s="129"/>
      <c r="H60" s="129"/>
      <c r="I60" s="129"/>
      <c r="J60" s="129"/>
      <c r="K60" s="129"/>
      <c r="L60" s="129"/>
      <c r="M60" s="129"/>
      <c r="N60" s="129"/>
      <c r="O60" s="129"/>
      <c r="P60" s="129"/>
      <c r="Q60" s="129"/>
    </row>
    <row r="61" spans="1:17" ht="15" customHeight="1" x14ac:dyDescent="0.2">
      <c r="A61" s="355"/>
      <c r="B61" s="129"/>
      <c r="C61" s="129"/>
      <c r="D61" s="129"/>
      <c r="E61" s="129"/>
      <c r="F61" s="129"/>
      <c r="G61" s="129"/>
    </row>
    <row r="62" spans="1:17" ht="15" customHeight="1" x14ac:dyDescent="0.2">
      <c r="A62" s="355"/>
    </row>
    <row r="63" spans="1:17" ht="15" customHeight="1" x14ac:dyDescent="0.2"/>
    <row r="64" spans="1:17" ht="15" customHeight="1" x14ac:dyDescent="0.2"/>
    <row r="65" ht="15" customHeight="1" x14ac:dyDescent="0.2"/>
    <row r="66" ht="15" customHeight="1" x14ac:dyDescent="0.2"/>
  </sheetData>
  <sheetProtection algorithmName="SHA-512" hashValue="1jWMwQVU38iGQ7Qr53EozV2GQRpFlSgF6fIhlvWigTDb1z5DIcZq4YArXxd/DuB70bIQI4X8mlxAMECw7AzmHw==" saltValue="LNMbs7bOaOUgCF2GyQaq8w==" spinCount="100000" sheet="1" objects="1" scenarios="1"/>
  <mergeCells count="1">
    <mergeCell ref="F46:M46"/>
  </mergeCells>
  <pageMargins left="0.25" right="0.25" top="0.75" bottom="0.75" header="0.3" footer="0.3"/>
  <pageSetup paperSize="9" scale="6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D6676-7CE1-4AF5-844E-5BEDCEC4CDB7}">
  <dimension ref="A1:R79"/>
  <sheetViews>
    <sheetView zoomScaleNormal="100" workbookViewId="0">
      <selection activeCell="B7" sqref="B7"/>
    </sheetView>
  </sheetViews>
  <sheetFormatPr defaultRowHeight="15" x14ac:dyDescent="0.25"/>
  <cols>
    <col min="1" max="1" width="144.140625" customWidth="1"/>
    <col min="2" max="2" width="42.5703125" customWidth="1"/>
    <col min="3" max="3" width="57.28515625" customWidth="1"/>
    <col min="4" max="4" width="54.7109375" customWidth="1"/>
    <col min="5" max="5" width="22.42578125" customWidth="1"/>
    <col min="6" max="6" width="70.85546875" customWidth="1"/>
    <col min="7" max="7" width="20.5703125" customWidth="1"/>
    <col min="8" max="8" width="71.42578125" customWidth="1"/>
    <col min="9" max="9" width="55.85546875" customWidth="1"/>
    <col min="10" max="10" width="50" customWidth="1"/>
    <col min="11" max="11" width="40.42578125" customWidth="1"/>
    <col min="257" max="257" width="79" customWidth="1"/>
    <col min="258" max="258" width="42.5703125" customWidth="1"/>
    <col min="259" max="259" width="57.28515625" customWidth="1"/>
    <col min="260" max="260" width="54.7109375" customWidth="1"/>
    <col min="261" max="261" width="22.42578125" customWidth="1"/>
    <col min="262" max="262" width="70.85546875" customWidth="1"/>
    <col min="263" max="263" width="20.5703125" customWidth="1"/>
    <col min="264" max="264" width="71.42578125" customWidth="1"/>
    <col min="265" max="265" width="55.85546875" customWidth="1"/>
    <col min="266" max="266" width="50" customWidth="1"/>
    <col min="267" max="267" width="40.42578125" customWidth="1"/>
    <col min="513" max="513" width="79" customWidth="1"/>
    <col min="514" max="514" width="42.5703125" customWidth="1"/>
    <col min="515" max="515" width="57.28515625" customWidth="1"/>
    <col min="516" max="516" width="54.7109375" customWidth="1"/>
    <col min="517" max="517" width="22.42578125" customWidth="1"/>
    <col min="518" max="518" width="70.85546875" customWidth="1"/>
    <col min="519" max="519" width="20.5703125" customWidth="1"/>
    <col min="520" max="520" width="71.42578125" customWidth="1"/>
    <col min="521" max="521" width="55.85546875" customWidth="1"/>
    <col min="522" max="522" width="50" customWidth="1"/>
    <col min="523" max="523" width="40.42578125" customWidth="1"/>
    <col min="769" max="769" width="79" customWidth="1"/>
    <col min="770" max="770" width="42.5703125" customWidth="1"/>
    <col min="771" max="771" width="57.28515625" customWidth="1"/>
    <col min="772" max="772" width="54.7109375" customWidth="1"/>
    <col min="773" max="773" width="22.42578125" customWidth="1"/>
    <col min="774" max="774" width="70.85546875" customWidth="1"/>
    <col min="775" max="775" width="20.5703125" customWidth="1"/>
    <col min="776" max="776" width="71.42578125" customWidth="1"/>
    <col min="777" max="777" width="55.85546875" customWidth="1"/>
    <col min="778" max="778" width="50" customWidth="1"/>
    <col min="779" max="779" width="40.42578125" customWidth="1"/>
    <col min="1025" max="1025" width="79" customWidth="1"/>
    <col min="1026" max="1026" width="42.5703125" customWidth="1"/>
    <col min="1027" max="1027" width="57.28515625" customWidth="1"/>
    <col min="1028" max="1028" width="54.7109375" customWidth="1"/>
    <col min="1029" max="1029" width="22.42578125" customWidth="1"/>
    <col min="1030" max="1030" width="70.85546875" customWidth="1"/>
    <col min="1031" max="1031" width="20.5703125" customWidth="1"/>
    <col min="1032" max="1032" width="71.42578125" customWidth="1"/>
    <col min="1033" max="1033" width="55.85546875" customWidth="1"/>
    <col min="1034" max="1034" width="50" customWidth="1"/>
    <col min="1035" max="1035" width="40.42578125" customWidth="1"/>
    <col min="1281" max="1281" width="79" customWidth="1"/>
    <col min="1282" max="1282" width="42.5703125" customWidth="1"/>
    <col min="1283" max="1283" width="57.28515625" customWidth="1"/>
    <col min="1284" max="1284" width="54.7109375" customWidth="1"/>
    <col min="1285" max="1285" width="22.42578125" customWidth="1"/>
    <col min="1286" max="1286" width="70.85546875" customWidth="1"/>
    <col min="1287" max="1287" width="20.5703125" customWidth="1"/>
    <col min="1288" max="1288" width="71.42578125" customWidth="1"/>
    <col min="1289" max="1289" width="55.85546875" customWidth="1"/>
    <col min="1290" max="1290" width="50" customWidth="1"/>
    <col min="1291" max="1291" width="40.42578125" customWidth="1"/>
    <col min="1537" max="1537" width="79" customWidth="1"/>
    <col min="1538" max="1538" width="42.5703125" customWidth="1"/>
    <col min="1539" max="1539" width="57.28515625" customWidth="1"/>
    <col min="1540" max="1540" width="54.7109375" customWidth="1"/>
    <col min="1541" max="1541" width="22.42578125" customWidth="1"/>
    <col min="1542" max="1542" width="70.85546875" customWidth="1"/>
    <col min="1543" max="1543" width="20.5703125" customWidth="1"/>
    <col min="1544" max="1544" width="71.42578125" customWidth="1"/>
    <col min="1545" max="1545" width="55.85546875" customWidth="1"/>
    <col min="1546" max="1546" width="50" customWidth="1"/>
    <col min="1547" max="1547" width="40.42578125" customWidth="1"/>
    <col min="1793" max="1793" width="79" customWidth="1"/>
    <col min="1794" max="1794" width="42.5703125" customWidth="1"/>
    <col min="1795" max="1795" width="57.28515625" customWidth="1"/>
    <col min="1796" max="1796" width="54.7109375" customWidth="1"/>
    <col min="1797" max="1797" width="22.42578125" customWidth="1"/>
    <col min="1798" max="1798" width="70.85546875" customWidth="1"/>
    <col min="1799" max="1799" width="20.5703125" customWidth="1"/>
    <col min="1800" max="1800" width="71.42578125" customWidth="1"/>
    <col min="1801" max="1801" width="55.85546875" customWidth="1"/>
    <col min="1802" max="1802" width="50" customWidth="1"/>
    <col min="1803" max="1803" width="40.42578125" customWidth="1"/>
    <col min="2049" max="2049" width="79" customWidth="1"/>
    <col min="2050" max="2050" width="42.5703125" customWidth="1"/>
    <col min="2051" max="2051" width="57.28515625" customWidth="1"/>
    <col min="2052" max="2052" width="54.7109375" customWidth="1"/>
    <col min="2053" max="2053" width="22.42578125" customWidth="1"/>
    <col min="2054" max="2054" width="70.85546875" customWidth="1"/>
    <col min="2055" max="2055" width="20.5703125" customWidth="1"/>
    <col min="2056" max="2056" width="71.42578125" customWidth="1"/>
    <col min="2057" max="2057" width="55.85546875" customWidth="1"/>
    <col min="2058" max="2058" width="50" customWidth="1"/>
    <col min="2059" max="2059" width="40.42578125" customWidth="1"/>
    <col min="2305" max="2305" width="79" customWidth="1"/>
    <col min="2306" max="2306" width="42.5703125" customWidth="1"/>
    <col min="2307" max="2307" width="57.28515625" customWidth="1"/>
    <col min="2308" max="2308" width="54.7109375" customWidth="1"/>
    <col min="2309" max="2309" width="22.42578125" customWidth="1"/>
    <col min="2310" max="2310" width="70.85546875" customWidth="1"/>
    <col min="2311" max="2311" width="20.5703125" customWidth="1"/>
    <col min="2312" max="2312" width="71.42578125" customWidth="1"/>
    <col min="2313" max="2313" width="55.85546875" customWidth="1"/>
    <col min="2314" max="2314" width="50" customWidth="1"/>
    <col min="2315" max="2315" width="40.42578125" customWidth="1"/>
    <col min="2561" max="2561" width="79" customWidth="1"/>
    <col min="2562" max="2562" width="42.5703125" customWidth="1"/>
    <col min="2563" max="2563" width="57.28515625" customWidth="1"/>
    <col min="2564" max="2564" width="54.7109375" customWidth="1"/>
    <col min="2565" max="2565" width="22.42578125" customWidth="1"/>
    <col min="2566" max="2566" width="70.85546875" customWidth="1"/>
    <col min="2567" max="2567" width="20.5703125" customWidth="1"/>
    <col min="2568" max="2568" width="71.42578125" customWidth="1"/>
    <col min="2569" max="2569" width="55.85546875" customWidth="1"/>
    <col min="2570" max="2570" width="50" customWidth="1"/>
    <col min="2571" max="2571" width="40.42578125" customWidth="1"/>
    <col min="2817" max="2817" width="79" customWidth="1"/>
    <col min="2818" max="2818" width="42.5703125" customWidth="1"/>
    <col min="2819" max="2819" width="57.28515625" customWidth="1"/>
    <col min="2820" max="2820" width="54.7109375" customWidth="1"/>
    <col min="2821" max="2821" width="22.42578125" customWidth="1"/>
    <col min="2822" max="2822" width="70.85546875" customWidth="1"/>
    <col min="2823" max="2823" width="20.5703125" customWidth="1"/>
    <col min="2824" max="2824" width="71.42578125" customWidth="1"/>
    <col min="2825" max="2825" width="55.85546875" customWidth="1"/>
    <col min="2826" max="2826" width="50" customWidth="1"/>
    <col min="2827" max="2827" width="40.42578125" customWidth="1"/>
    <col min="3073" max="3073" width="79" customWidth="1"/>
    <col min="3074" max="3074" width="42.5703125" customWidth="1"/>
    <col min="3075" max="3075" width="57.28515625" customWidth="1"/>
    <col min="3076" max="3076" width="54.7109375" customWidth="1"/>
    <col min="3077" max="3077" width="22.42578125" customWidth="1"/>
    <col min="3078" max="3078" width="70.85546875" customWidth="1"/>
    <col min="3079" max="3079" width="20.5703125" customWidth="1"/>
    <col min="3080" max="3080" width="71.42578125" customWidth="1"/>
    <col min="3081" max="3081" width="55.85546875" customWidth="1"/>
    <col min="3082" max="3082" width="50" customWidth="1"/>
    <col min="3083" max="3083" width="40.42578125" customWidth="1"/>
    <col min="3329" max="3329" width="79" customWidth="1"/>
    <col min="3330" max="3330" width="42.5703125" customWidth="1"/>
    <col min="3331" max="3331" width="57.28515625" customWidth="1"/>
    <col min="3332" max="3332" width="54.7109375" customWidth="1"/>
    <col min="3333" max="3333" width="22.42578125" customWidth="1"/>
    <col min="3334" max="3334" width="70.85546875" customWidth="1"/>
    <col min="3335" max="3335" width="20.5703125" customWidth="1"/>
    <col min="3336" max="3336" width="71.42578125" customWidth="1"/>
    <col min="3337" max="3337" width="55.85546875" customWidth="1"/>
    <col min="3338" max="3338" width="50" customWidth="1"/>
    <col min="3339" max="3339" width="40.42578125" customWidth="1"/>
    <col min="3585" max="3585" width="79" customWidth="1"/>
    <col min="3586" max="3586" width="42.5703125" customWidth="1"/>
    <col min="3587" max="3587" width="57.28515625" customWidth="1"/>
    <col min="3588" max="3588" width="54.7109375" customWidth="1"/>
    <col min="3589" max="3589" width="22.42578125" customWidth="1"/>
    <col min="3590" max="3590" width="70.85546875" customWidth="1"/>
    <col min="3591" max="3591" width="20.5703125" customWidth="1"/>
    <col min="3592" max="3592" width="71.42578125" customWidth="1"/>
    <col min="3593" max="3593" width="55.85546875" customWidth="1"/>
    <col min="3594" max="3594" width="50" customWidth="1"/>
    <col min="3595" max="3595" width="40.42578125" customWidth="1"/>
    <col min="3841" max="3841" width="79" customWidth="1"/>
    <col min="3842" max="3842" width="42.5703125" customWidth="1"/>
    <col min="3843" max="3843" width="57.28515625" customWidth="1"/>
    <col min="3844" max="3844" width="54.7109375" customWidth="1"/>
    <col min="3845" max="3845" width="22.42578125" customWidth="1"/>
    <col min="3846" max="3846" width="70.85546875" customWidth="1"/>
    <col min="3847" max="3847" width="20.5703125" customWidth="1"/>
    <col min="3848" max="3848" width="71.42578125" customWidth="1"/>
    <col min="3849" max="3849" width="55.85546875" customWidth="1"/>
    <col min="3850" max="3850" width="50" customWidth="1"/>
    <col min="3851" max="3851" width="40.42578125" customWidth="1"/>
    <col min="4097" max="4097" width="79" customWidth="1"/>
    <col min="4098" max="4098" width="42.5703125" customWidth="1"/>
    <col min="4099" max="4099" width="57.28515625" customWidth="1"/>
    <col min="4100" max="4100" width="54.7109375" customWidth="1"/>
    <col min="4101" max="4101" width="22.42578125" customWidth="1"/>
    <col min="4102" max="4102" width="70.85546875" customWidth="1"/>
    <col min="4103" max="4103" width="20.5703125" customWidth="1"/>
    <col min="4104" max="4104" width="71.42578125" customWidth="1"/>
    <col min="4105" max="4105" width="55.85546875" customWidth="1"/>
    <col min="4106" max="4106" width="50" customWidth="1"/>
    <col min="4107" max="4107" width="40.42578125" customWidth="1"/>
    <col min="4353" max="4353" width="79" customWidth="1"/>
    <col min="4354" max="4354" width="42.5703125" customWidth="1"/>
    <col min="4355" max="4355" width="57.28515625" customWidth="1"/>
    <col min="4356" max="4356" width="54.7109375" customWidth="1"/>
    <col min="4357" max="4357" width="22.42578125" customWidth="1"/>
    <col min="4358" max="4358" width="70.85546875" customWidth="1"/>
    <col min="4359" max="4359" width="20.5703125" customWidth="1"/>
    <col min="4360" max="4360" width="71.42578125" customWidth="1"/>
    <col min="4361" max="4361" width="55.85546875" customWidth="1"/>
    <col min="4362" max="4362" width="50" customWidth="1"/>
    <col min="4363" max="4363" width="40.42578125" customWidth="1"/>
    <col min="4609" max="4609" width="79" customWidth="1"/>
    <col min="4610" max="4610" width="42.5703125" customWidth="1"/>
    <col min="4611" max="4611" width="57.28515625" customWidth="1"/>
    <col min="4612" max="4612" width="54.7109375" customWidth="1"/>
    <col min="4613" max="4613" width="22.42578125" customWidth="1"/>
    <col min="4614" max="4614" width="70.85546875" customWidth="1"/>
    <col min="4615" max="4615" width="20.5703125" customWidth="1"/>
    <col min="4616" max="4616" width="71.42578125" customWidth="1"/>
    <col min="4617" max="4617" width="55.85546875" customWidth="1"/>
    <col min="4618" max="4618" width="50" customWidth="1"/>
    <col min="4619" max="4619" width="40.42578125" customWidth="1"/>
    <col min="4865" max="4865" width="79" customWidth="1"/>
    <col min="4866" max="4866" width="42.5703125" customWidth="1"/>
    <col min="4867" max="4867" width="57.28515625" customWidth="1"/>
    <col min="4868" max="4868" width="54.7109375" customWidth="1"/>
    <col min="4869" max="4869" width="22.42578125" customWidth="1"/>
    <col min="4870" max="4870" width="70.85546875" customWidth="1"/>
    <col min="4871" max="4871" width="20.5703125" customWidth="1"/>
    <col min="4872" max="4872" width="71.42578125" customWidth="1"/>
    <col min="4873" max="4873" width="55.85546875" customWidth="1"/>
    <col min="4874" max="4874" width="50" customWidth="1"/>
    <col min="4875" max="4875" width="40.42578125" customWidth="1"/>
    <col min="5121" max="5121" width="79" customWidth="1"/>
    <col min="5122" max="5122" width="42.5703125" customWidth="1"/>
    <col min="5123" max="5123" width="57.28515625" customWidth="1"/>
    <col min="5124" max="5124" width="54.7109375" customWidth="1"/>
    <col min="5125" max="5125" width="22.42578125" customWidth="1"/>
    <col min="5126" max="5126" width="70.85546875" customWidth="1"/>
    <col min="5127" max="5127" width="20.5703125" customWidth="1"/>
    <col min="5128" max="5128" width="71.42578125" customWidth="1"/>
    <col min="5129" max="5129" width="55.85546875" customWidth="1"/>
    <col min="5130" max="5130" width="50" customWidth="1"/>
    <col min="5131" max="5131" width="40.42578125" customWidth="1"/>
    <col min="5377" max="5377" width="79" customWidth="1"/>
    <col min="5378" max="5378" width="42.5703125" customWidth="1"/>
    <col min="5379" max="5379" width="57.28515625" customWidth="1"/>
    <col min="5380" max="5380" width="54.7109375" customWidth="1"/>
    <col min="5381" max="5381" width="22.42578125" customWidth="1"/>
    <col min="5382" max="5382" width="70.85546875" customWidth="1"/>
    <col min="5383" max="5383" width="20.5703125" customWidth="1"/>
    <col min="5384" max="5384" width="71.42578125" customWidth="1"/>
    <col min="5385" max="5385" width="55.85546875" customWidth="1"/>
    <col min="5386" max="5386" width="50" customWidth="1"/>
    <col min="5387" max="5387" width="40.42578125" customWidth="1"/>
    <col min="5633" max="5633" width="79" customWidth="1"/>
    <col min="5634" max="5634" width="42.5703125" customWidth="1"/>
    <col min="5635" max="5635" width="57.28515625" customWidth="1"/>
    <col min="5636" max="5636" width="54.7109375" customWidth="1"/>
    <col min="5637" max="5637" width="22.42578125" customWidth="1"/>
    <col min="5638" max="5638" width="70.85546875" customWidth="1"/>
    <col min="5639" max="5639" width="20.5703125" customWidth="1"/>
    <col min="5640" max="5640" width="71.42578125" customWidth="1"/>
    <col min="5641" max="5641" width="55.85546875" customWidth="1"/>
    <col min="5642" max="5642" width="50" customWidth="1"/>
    <col min="5643" max="5643" width="40.42578125" customWidth="1"/>
    <col min="5889" max="5889" width="79" customWidth="1"/>
    <col min="5890" max="5890" width="42.5703125" customWidth="1"/>
    <col min="5891" max="5891" width="57.28515625" customWidth="1"/>
    <col min="5892" max="5892" width="54.7109375" customWidth="1"/>
    <col min="5893" max="5893" width="22.42578125" customWidth="1"/>
    <col min="5894" max="5894" width="70.85546875" customWidth="1"/>
    <col min="5895" max="5895" width="20.5703125" customWidth="1"/>
    <col min="5896" max="5896" width="71.42578125" customWidth="1"/>
    <col min="5897" max="5897" width="55.85546875" customWidth="1"/>
    <col min="5898" max="5898" width="50" customWidth="1"/>
    <col min="5899" max="5899" width="40.42578125" customWidth="1"/>
    <col min="6145" max="6145" width="79" customWidth="1"/>
    <col min="6146" max="6146" width="42.5703125" customWidth="1"/>
    <col min="6147" max="6147" width="57.28515625" customWidth="1"/>
    <col min="6148" max="6148" width="54.7109375" customWidth="1"/>
    <col min="6149" max="6149" width="22.42578125" customWidth="1"/>
    <col min="6150" max="6150" width="70.85546875" customWidth="1"/>
    <col min="6151" max="6151" width="20.5703125" customWidth="1"/>
    <col min="6152" max="6152" width="71.42578125" customWidth="1"/>
    <col min="6153" max="6153" width="55.85546875" customWidth="1"/>
    <col min="6154" max="6154" width="50" customWidth="1"/>
    <col min="6155" max="6155" width="40.42578125" customWidth="1"/>
    <col min="6401" max="6401" width="79" customWidth="1"/>
    <col min="6402" max="6402" width="42.5703125" customWidth="1"/>
    <col min="6403" max="6403" width="57.28515625" customWidth="1"/>
    <col min="6404" max="6404" width="54.7109375" customWidth="1"/>
    <col min="6405" max="6405" width="22.42578125" customWidth="1"/>
    <col min="6406" max="6406" width="70.85546875" customWidth="1"/>
    <col min="6407" max="6407" width="20.5703125" customWidth="1"/>
    <col min="6408" max="6408" width="71.42578125" customWidth="1"/>
    <col min="6409" max="6409" width="55.85546875" customWidth="1"/>
    <col min="6410" max="6410" width="50" customWidth="1"/>
    <col min="6411" max="6411" width="40.42578125" customWidth="1"/>
    <col min="6657" max="6657" width="79" customWidth="1"/>
    <col min="6658" max="6658" width="42.5703125" customWidth="1"/>
    <col min="6659" max="6659" width="57.28515625" customWidth="1"/>
    <col min="6660" max="6660" width="54.7109375" customWidth="1"/>
    <col min="6661" max="6661" width="22.42578125" customWidth="1"/>
    <col min="6662" max="6662" width="70.85546875" customWidth="1"/>
    <col min="6663" max="6663" width="20.5703125" customWidth="1"/>
    <col min="6664" max="6664" width="71.42578125" customWidth="1"/>
    <col min="6665" max="6665" width="55.85546875" customWidth="1"/>
    <col min="6666" max="6666" width="50" customWidth="1"/>
    <col min="6667" max="6667" width="40.42578125" customWidth="1"/>
    <col min="6913" max="6913" width="79" customWidth="1"/>
    <col min="6914" max="6914" width="42.5703125" customWidth="1"/>
    <col min="6915" max="6915" width="57.28515625" customWidth="1"/>
    <col min="6916" max="6916" width="54.7109375" customWidth="1"/>
    <col min="6917" max="6917" width="22.42578125" customWidth="1"/>
    <col min="6918" max="6918" width="70.85546875" customWidth="1"/>
    <col min="6919" max="6919" width="20.5703125" customWidth="1"/>
    <col min="6920" max="6920" width="71.42578125" customWidth="1"/>
    <col min="6921" max="6921" width="55.85546875" customWidth="1"/>
    <col min="6922" max="6922" width="50" customWidth="1"/>
    <col min="6923" max="6923" width="40.42578125" customWidth="1"/>
    <col min="7169" max="7169" width="79" customWidth="1"/>
    <col min="7170" max="7170" width="42.5703125" customWidth="1"/>
    <col min="7171" max="7171" width="57.28515625" customWidth="1"/>
    <col min="7172" max="7172" width="54.7109375" customWidth="1"/>
    <col min="7173" max="7173" width="22.42578125" customWidth="1"/>
    <col min="7174" max="7174" width="70.85546875" customWidth="1"/>
    <col min="7175" max="7175" width="20.5703125" customWidth="1"/>
    <col min="7176" max="7176" width="71.42578125" customWidth="1"/>
    <col min="7177" max="7177" width="55.85546875" customWidth="1"/>
    <col min="7178" max="7178" width="50" customWidth="1"/>
    <col min="7179" max="7179" width="40.42578125" customWidth="1"/>
    <col min="7425" max="7425" width="79" customWidth="1"/>
    <col min="7426" max="7426" width="42.5703125" customWidth="1"/>
    <col min="7427" max="7427" width="57.28515625" customWidth="1"/>
    <col min="7428" max="7428" width="54.7109375" customWidth="1"/>
    <col min="7429" max="7429" width="22.42578125" customWidth="1"/>
    <col min="7430" max="7430" width="70.85546875" customWidth="1"/>
    <col min="7431" max="7431" width="20.5703125" customWidth="1"/>
    <col min="7432" max="7432" width="71.42578125" customWidth="1"/>
    <col min="7433" max="7433" width="55.85546875" customWidth="1"/>
    <col min="7434" max="7434" width="50" customWidth="1"/>
    <col min="7435" max="7435" width="40.42578125" customWidth="1"/>
    <col min="7681" max="7681" width="79" customWidth="1"/>
    <col min="7682" max="7682" width="42.5703125" customWidth="1"/>
    <col min="7683" max="7683" width="57.28515625" customWidth="1"/>
    <col min="7684" max="7684" width="54.7109375" customWidth="1"/>
    <col min="7685" max="7685" width="22.42578125" customWidth="1"/>
    <col min="7686" max="7686" width="70.85546875" customWidth="1"/>
    <col min="7687" max="7687" width="20.5703125" customWidth="1"/>
    <col min="7688" max="7688" width="71.42578125" customWidth="1"/>
    <col min="7689" max="7689" width="55.85546875" customWidth="1"/>
    <col min="7690" max="7690" width="50" customWidth="1"/>
    <col min="7691" max="7691" width="40.42578125" customWidth="1"/>
    <col min="7937" max="7937" width="79" customWidth="1"/>
    <col min="7938" max="7938" width="42.5703125" customWidth="1"/>
    <col min="7939" max="7939" width="57.28515625" customWidth="1"/>
    <col min="7940" max="7940" width="54.7109375" customWidth="1"/>
    <col min="7941" max="7941" width="22.42578125" customWidth="1"/>
    <col min="7942" max="7942" width="70.85546875" customWidth="1"/>
    <col min="7943" max="7943" width="20.5703125" customWidth="1"/>
    <col min="7944" max="7944" width="71.42578125" customWidth="1"/>
    <col min="7945" max="7945" width="55.85546875" customWidth="1"/>
    <col min="7946" max="7946" width="50" customWidth="1"/>
    <col min="7947" max="7947" width="40.42578125" customWidth="1"/>
    <col min="8193" max="8193" width="79" customWidth="1"/>
    <col min="8194" max="8194" width="42.5703125" customWidth="1"/>
    <col min="8195" max="8195" width="57.28515625" customWidth="1"/>
    <col min="8196" max="8196" width="54.7109375" customWidth="1"/>
    <col min="8197" max="8197" width="22.42578125" customWidth="1"/>
    <col min="8198" max="8198" width="70.85546875" customWidth="1"/>
    <col min="8199" max="8199" width="20.5703125" customWidth="1"/>
    <col min="8200" max="8200" width="71.42578125" customWidth="1"/>
    <col min="8201" max="8201" width="55.85546875" customWidth="1"/>
    <col min="8202" max="8202" width="50" customWidth="1"/>
    <col min="8203" max="8203" width="40.42578125" customWidth="1"/>
    <col min="8449" max="8449" width="79" customWidth="1"/>
    <col min="8450" max="8450" width="42.5703125" customWidth="1"/>
    <col min="8451" max="8451" width="57.28515625" customWidth="1"/>
    <col min="8452" max="8452" width="54.7109375" customWidth="1"/>
    <col min="8453" max="8453" width="22.42578125" customWidth="1"/>
    <col min="8454" max="8454" width="70.85546875" customWidth="1"/>
    <col min="8455" max="8455" width="20.5703125" customWidth="1"/>
    <col min="8456" max="8456" width="71.42578125" customWidth="1"/>
    <col min="8457" max="8457" width="55.85546875" customWidth="1"/>
    <col min="8458" max="8458" width="50" customWidth="1"/>
    <col min="8459" max="8459" width="40.42578125" customWidth="1"/>
    <col min="8705" max="8705" width="79" customWidth="1"/>
    <col min="8706" max="8706" width="42.5703125" customWidth="1"/>
    <col min="8707" max="8707" width="57.28515625" customWidth="1"/>
    <col min="8708" max="8708" width="54.7109375" customWidth="1"/>
    <col min="8709" max="8709" width="22.42578125" customWidth="1"/>
    <col min="8710" max="8710" width="70.85546875" customWidth="1"/>
    <col min="8711" max="8711" width="20.5703125" customWidth="1"/>
    <col min="8712" max="8712" width="71.42578125" customWidth="1"/>
    <col min="8713" max="8713" width="55.85546875" customWidth="1"/>
    <col min="8714" max="8714" width="50" customWidth="1"/>
    <col min="8715" max="8715" width="40.42578125" customWidth="1"/>
    <col min="8961" max="8961" width="79" customWidth="1"/>
    <col min="8962" max="8962" width="42.5703125" customWidth="1"/>
    <col min="8963" max="8963" width="57.28515625" customWidth="1"/>
    <col min="8964" max="8964" width="54.7109375" customWidth="1"/>
    <col min="8965" max="8965" width="22.42578125" customWidth="1"/>
    <col min="8966" max="8966" width="70.85546875" customWidth="1"/>
    <col min="8967" max="8967" width="20.5703125" customWidth="1"/>
    <col min="8968" max="8968" width="71.42578125" customWidth="1"/>
    <col min="8969" max="8969" width="55.85546875" customWidth="1"/>
    <col min="8970" max="8970" width="50" customWidth="1"/>
    <col min="8971" max="8971" width="40.42578125" customWidth="1"/>
    <col min="9217" max="9217" width="79" customWidth="1"/>
    <col min="9218" max="9218" width="42.5703125" customWidth="1"/>
    <col min="9219" max="9219" width="57.28515625" customWidth="1"/>
    <col min="9220" max="9220" width="54.7109375" customWidth="1"/>
    <col min="9221" max="9221" width="22.42578125" customWidth="1"/>
    <col min="9222" max="9222" width="70.85546875" customWidth="1"/>
    <col min="9223" max="9223" width="20.5703125" customWidth="1"/>
    <col min="9224" max="9224" width="71.42578125" customWidth="1"/>
    <col min="9225" max="9225" width="55.85546875" customWidth="1"/>
    <col min="9226" max="9226" width="50" customWidth="1"/>
    <col min="9227" max="9227" width="40.42578125" customWidth="1"/>
    <col min="9473" max="9473" width="79" customWidth="1"/>
    <col min="9474" max="9474" width="42.5703125" customWidth="1"/>
    <col min="9475" max="9475" width="57.28515625" customWidth="1"/>
    <col min="9476" max="9476" width="54.7109375" customWidth="1"/>
    <col min="9477" max="9477" width="22.42578125" customWidth="1"/>
    <col min="9478" max="9478" width="70.85546875" customWidth="1"/>
    <col min="9479" max="9479" width="20.5703125" customWidth="1"/>
    <col min="9480" max="9480" width="71.42578125" customWidth="1"/>
    <col min="9481" max="9481" width="55.85546875" customWidth="1"/>
    <col min="9482" max="9482" width="50" customWidth="1"/>
    <col min="9483" max="9483" width="40.42578125" customWidth="1"/>
    <col min="9729" max="9729" width="79" customWidth="1"/>
    <col min="9730" max="9730" width="42.5703125" customWidth="1"/>
    <col min="9731" max="9731" width="57.28515625" customWidth="1"/>
    <col min="9732" max="9732" width="54.7109375" customWidth="1"/>
    <col min="9733" max="9733" width="22.42578125" customWidth="1"/>
    <col min="9734" max="9734" width="70.85546875" customWidth="1"/>
    <col min="9735" max="9735" width="20.5703125" customWidth="1"/>
    <col min="9736" max="9736" width="71.42578125" customWidth="1"/>
    <col min="9737" max="9737" width="55.85546875" customWidth="1"/>
    <col min="9738" max="9738" width="50" customWidth="1"/>
    <col min="9739" max="9739" width="40.42578125" customWidth="1"/>
    <col min="9985" max="9985" width="79" customWidth="1"/>
    <col min="9986" max="9986" width="42.5703125" customWidth="1"/>
    <col min="9987" max="9987" width="57.28515625" customWidth="1"/>
    <col min="9988" max="9988" width="54.7109375" customWidth="1"/>
    <col min="9989" max="9989" width="22.42578125" customWidth="1"/>
    <col min="9990" max="9990" width="70.85546875" customWidth="1"/>
    <col min="9991" max="9991" width="20.5703125" customWidth="1"/>
    <col min="9992" max="9992" width="71.42578125" customWidth="1"/>
    <col min="9993" max="9993" width="55.85546875" customWidth="1"/>
    <col min="9994" max="9994" width="50" customWidth="1"/>
    <col min="9995" max="9995" width="40.42578125" customWidth="1"/>
    <col min="10241" max="10241" width="79" customWidth="1"/>
    <col min="10242" max="10242" width="42.5703125" customWidth="1"/>
    <col min="10243" max="10243" width="57.28515625" customWidth="1"/>
    <col min="10244" max="10244" width="54.7109375" customWidth="1"/>
    <col min="10245" max="10245" width="22.42578125" customWidth="1"/>
    <col min="10246" max="10246" width="70.85546875" customWidth="1"/>
    <col min="10247" max="10247" width="20.5703125" customWidth="1"/>
    <col min="10248" max="10248" width="71.42578125" customWidth="1"/>
    <col min="10249" max="10249" width="55.85546875" customWidth="1"/>
    <col min="10250" max="10250" width="50" customWidth="1"/>
    <col min="10251" max="10251" width="40.42578125" customWidth="1"/>
    <col min="10497" max="10497" width="79" customWidth="1"/>
    <col min="10498" max="10498" width="42.5703125" customWidth="1"/>
    <col min="10499" max="10499" width="57.28515625" customWidth="1"/>
    <col min="10500" max="10500" width="54.7109375" customWidth="1"/>
    <col min="10501" max="10501" width="22.42578125" customWidth="1"/>
    <col min="10502" max="10502" width="70.85546875" customWidth="1"/>
    <col min="10503" max="10503" width="20.5703125" customWidth="1"/>
    <col min="10504" max="10504" width="71.42578125" customWidth="1"/>
    <col min="10505" max="10505" width="55.85546875" customWidth="1"/>
    <col min="10506" max="10506" width="50" customWidth="1"/>
    <col min="10507" max="10507" width="40.42578125" customWidth="1"/>
    <col min="10753" max="10753" width="79" customWidth="1"/>
    <col min="10754" max="10754" width="42.5703125" customWidth="1"/>
    <col min="10755" max="10755" width="57.28515625" customWidth="1"/>
    <col min="10756" max="10756" width="54.7109375" customWidth="1"/>
    <col min="10757" max="10757" width="22.42578125" customWidth="1"/>
    <col min="10758" max="10758" width="70.85546875" customWidth="1"/>
    <col min="10759" max="10759" width="20.5703125" customWidth="1"/>
    <col min="10760" max="10760" width="71.42578125" customWidth="1"/>
    <col min="10761" max="10761" width="55.85546875" customWidth="1"/>
    <col min="10762" max="10762" width="50" customWidth="1"/>
    <col min="10763" max="10763" width="40.42578125" customWidth="1"/>
    <col min="11009" max="11009" width="79" customWidth="1"/>
    <col min="11010" max="11010" width="42.5703125" customWidth="1"/>
    <col min="11011" max="11011" width="57.28515625" customWidth="1"/>
    <col min="11012" max="11012" width="54.7109375" customWidth="1"/>
    <col min="11013" max="11013" width="22.42578125" customWidth="1"/>
    <col min="11014" max="11014" width="70.85546875" customWidth="1"/>
    <col min="11015" max="11015" width="20.5703125" customWidth="1"/>
    <col min="11016" max="11016" width="71.42578125" customWidth="1"/>
    <col min="11017" max="11017" width="55.85546875" customWidth="1"/>
    <col min="11018" max="11018" width="50" customWidth="1"/>
    <col min="11019" max="11019" width="40.42578125" customWidth="1"/>
    <col min="11265" max="11265" width="79" customWidth="1"/>
    <col min="11266" max="11266" width="42.5703125" customWidth="1"/>
    <col min="11267" max="11267" width="57.28515625" customWidth="1"/>
    <col min="11268" max="11268" width="54.7109375" customWidth="1"/>
    <col min="11269" max="11269" width="22.42578125" customWidth="1"/>
    <col min="11270" max="11270" width="70.85546875" customWidth="1"/>
    <col min="11271" max="11271" width="20.5703125" customWidth="1"/>
    <col min="11272" max="11272" width="71.42578125" customWidth="1"/>
    <col min="11273" max="11273" width="55.85546875" customWidth="1"/>
    <col min="11274" max="11274" width="50" customWidth="1"/>
    <col min="11275" max="11275" width="40.42578125" customWidth="1"/>
    <col min="11521" max="11521" width="79" customWidth="1"/>
    <col min="11522" max="11522" width="42.5703125" customWidth="1"/>
    <col min="11523" max="11523" width="57.28515625" customWidth="1"/>
    <col min="11524" max="11524" width="54.7109375" customWidth="1"/>
    <col min="11525" max="11525" width="22.42578125" customWidth="1"/>
    <col min="11526" max="11526" width="70.85546875" customWidth="1"/>
    <col min="11527" max="11527" width="20.5703125" customWidth="1"/>
    <col min="11528" max="11528" width="71.42578125" customWidth="1"/>
    <col min="11529" max="11529" width="55.85546875" customWidth="1"/>
    <col min="11530" max="11530" width="50" customWidth="1"/>
    <col min="11531" max="11531" width="40.42578125" customWidth="1"/>
    <col min="11777" max="11777" width="79" customWidth="1"/>
    <col min="11778" max="11778" width="42.5703125" customWidth="1"/>
    <col min="11779" max="11779" width="57.28515625" customWidth="1"/>
    <col min="11780" max="11780" width="54.7109375" customWidth="1"/>
    <col min="11781" max="11781" width="22.42578125" customWidth="1"/>
    <col min="11782" max="11782" width="70.85546875" customWidth="1"/>
    <col min="11783" max="11783" width="20.5703125" customWidth="1"/>
    <col min="11784" max="11784" width="71.42578125" customWidth="1"/>
    <col min="11785" max="11785" width="55.85546875" customWidth="1"/>
    <col min="11786" max="11786" width="50" customWidth="1"/>
    <col min="11787" max="11787" width="40.42578125" customWidth="1"/>
    <col min="12033" max="12033" width="79" customWidth="1"/>
    <col min="12034" max="12034" width="42.5703125" customWidth="1"/>
    <col min="12035" max="12035" width="57.28515625" customWidth="1"/>
    <col min="12036" max="12036" width="54.7109375" customWidth="1"/>
    <col min="12037" max="12037" width="22.42578125" customWidth="1"/>
    <col min="12038" max="12038" width="70.85546875" customWidth="1"/>
    <col min="12039" max="12039" width="20.5703125" customWidth="1"/>
    <col min="12040" max="12040" width="71.42578125" customWidth="1"/>
    <col min="12041" max="12041" width="55.85546875" customWidth="1"/>
    <col min="12042" max="12042" width="50" customWidth="1"/>
    <col min="12043" max="12043" width="40.42578125" customWidth="1"/>
    <col min="12289" max="12289" width="79" customWidth="1"/>
    <col min="12290" max="12290" width="42.5703125" customWidth="1"/>
    <col min="12291" max="12291" width="57.28515625" customWidth="1"/>
    <col min="12292" max="12292" width="54.7109375" customWidth="1"/>
    <col min="12293" max="12293" width="22.42578125" customWidth="1"/>
    <col min="12294" max="12294" width="70.85546875" customWidth="1"/>
    <col min="12295" max="12295" width="20.5703125" customWidth="1"/>
    <col min="12296" max="12296" width="71.42578125" customWidth="1"/>
    <col min="12297" max="12297" width="55.85546875" customWidth="1"/>
    <col min="12298" max="12298" width="50" customWidth="1"/>
    <col min="12299" max="12299" width="40.42578125" customWidth="1"/>
    <col min="12545" max="12545" width="79" customWidth="1"/>
    <col min="12546" max="12546" width="42.5703125" customWidth="1"/>
    <col min="12547" max="12547" width="57.28515625" customWidth="1"/>
    <col min="12548" max="12548" width="54.7109375" customWidth="1"/>
    <col min="12549" max="12549" width="22.42578125" customWidth="1"/>
    <col min="12550" max="12550" width="70.85546875" customWidth="1"/>
    <col min="12551" max="12551" width="20.5703125" customWidth="1"/>
    <col min="12552" max="12552" width="71.42578125" customWidth="1"/>
    <col min="12553" max="12553" width="55.85546875" customWidth="1"/>
    <col min="12554" max="12554" width="50" customWidth="1"/>
    <col min="12555" max="12555" width="40.42578125" customWidth="1"/>
    <col min="12801" max="12801" width="79" customWidth="1"/>
    <col min="12802" max="12802" width="42.5703125" customWidth="1"/>
    <col min="12803" max="12803" width="57.28515625" customWidth="1"/>
    <col min="12804" max="12804" width="54.7109375" customWidth="1"/>
    <col min="12805" max="12805" width="22.42578125" customWidth="1"/>
    <col min="12806" max="12806" width="70.85546875" customWidth="1"/>
    <col min="12807" max="12807" width="20.5703125" customWidth="1"/>
    <col min="12808" max="12808" width="71.42578125" customWidth="1"/>
    <col min="12809" max="12809" width="55.85546875" customWidth="1"/>
    <col min="12810" max="12810" width="50" customWidth="1"/>
    <col min="12811" max="12811" width="40.42578125" customWidth="1"/>
    <col min="13057" max="13057" width="79" customWidth="1"/>
    <col min="13058" max="13058" width="42.5703125" customWidth="1"/>
    <col min="13059" max="13059" width="57.28515625" customWidth="1"/>
    <col min="13060" max="13060" width="54.7109375" customWidth="1"/>
    <col min="13061" max="13061" width="22.42578125" customWidth="1"/>
    <col min="13062" max="13062" width="70.85546875" customWidth="1"/>
    <col min="13063" max="13063" width="20.5703125" customWidth="1"/>
    <col min="13064" max="13064" width="71.42578125" customWidth="1"/>
    <col min="13065" max="13065" width="55.85546875" customWidth="1"/>
    <col min="13066" max="13066" width="50" customWidth="1"/>
    <col min="13067" max="13067" width="40.42578125" customWidth="1"/>
    <col min="13313" max="13313" width="79" customWidth="1"/>
    <col min="13314" max="13314" width="42.5703125" customWidth="1"/>
    <col min="13315" max="13315" width="57.28515625" customWidth="1"/>
    <col min="13316" max="13316" width="54.7109375" customWidth="1"/>
    <col min="13317" max="13317" width="22.42578125" customWidth="1"/>
    <col min="13318" max="13318" width="70.85546875" customWidth="1"/>
    <col min="13319" max="13319" width="20.5703125" customWidth="1"/>
    <col min="13320" max="13320" width="71.42578125" customWidth="1"/>
    <col min="13321" max="13321" width="55.85546875" customWidth="1"/>
    <col min="13322" max="13322" width="50" customWidth="1"/>
    <col min="13323" max="13323" width="40.42578125" customWidth="1"/>
    <col min="13569" max="13569" width="79" customWidth="1"/>
    <col min="13570" max="13570" width="42.5703125" customWidth="1"/>
    <col min="13571" max="13571" width="57.28515625" customWidth="1"/>
    <col min="13572" max="13572" width="54.7109375" customWidth="1"/>
    <col min="13573" max="13573" width="22.42578125" customWidth="1"/>
    <col min="13574" max="13574" width="70.85546875" customWidth="1"/>
    <col min="13575" max="13575" width="20.5703125" customWidth="1"/>
    <col min="13576" max="13576" width="71.42578125" customWidth="1"/>
    <col min="13577" max="13577" width="55.85546875" customWidth="1"/>
    <col min="13578" max="13578" width="50" customWidth="1"/>
    <col min="13579" max="13579" width="40.42578125" customWidth="1"/>
    <col min="13825" max="13825" width="79" customWidth="1"/>
    <col min="13826" max="13826" width="42.5703125" customWidth="1"/>
    <col min="13827" max="13827" width="57.28515625" customWidth="1"/>
    <col min="13828" max="13828" width="54.7109375" customWidth="1"/>
    <col min="13829" max="13829" width="22.42578125" customWidth="1"/>
    <col min="13830" max="13830" width="70.85546875" customWidth="1"/>
    <col min="13831" max="13831" width="20.5703125" customWidth="1"/>
    <col min="13832" max="13832" width="71.42578125" customWidth="1"/>
    <col min="13833" max="13833" width="55.85546875" customWidth="1"/>
    <col min="13834" max="13834" width="50" customWidth="1"/>
    <col min="13835" max="13835" width="40.42578125" customWidth="1"/>
    <col min="14081" max="14081" width="79" customWidth="1"/>
    <col min="14082" max="14082" width="42.5703125" customWidth="1"/>
    <col min="14083" max="14083" width="57.28515625" customWidth="1"/>
    <col min="14084" max="14084" width="54.7109375" customWidth="1"/>
    <col min="14085" max="14085" width="22.42578125" customWidth="1"/>
    <col min="14086" max="14086" width="70.85546875" customWidth="1"/>
    <col min="14087" max="14087" width="20.5703125" customWidth="1"/>
    <col min="14088" max="14088" width="71.42578125" customWidth="1"/>
    <col min="14089" max="14089" width="55.85546875" customWidth="1"/>
    <col min="14090" max="14090" width="50" customWidth="1"/>
    <col min="14091" max="14091" width="40.42578125" customWidth="1"/>
    <col min="14337" max="14337" width="79" customWidth="1"/>
    <col min="14338" max="14338" width="42.5703125" customWidth="1"/>
    <col min="14339" max="14339" width="57.28515625" customWidth="1"/>
    <col min="14340" max="14340" width="54.7109375" customWidth="1"/>
    <col min="14341" max="14341" width="22.42578125" customWidth="1"/>
    <col min="14342" max="14342" width="70.85546875" customWidth="1"/>
    <col min="14343" max="14343" width="20.5703125" customWidth="1"/>
    <col min="14344" max="14344" width="71.42578125" customWidth="1"/>
    <col min="14345" max="14345" width="55.85546875" customWidth="1"/>
    <col min="14346" max="14346" width="50" customWidth="1"/>
    <col min="14347" max="14347" width="40.42578125" customWidth="1"/>
    <col min="14593" max="14593" width="79" customWidth="1"/>
    <col min="14594" max="14594" width="42.5703125" customWidth="1"/>
    <col min="14595" max="14595" width="57.28515625" customWidth="1"/>
    <col min="14596" max="14596" width="54.7109375" customWidth="1"/>
    <col min="14597" max="14597" width="22.42578125" customWidth="1"/>
    <col min="14598" max="14598" width="70.85546875" customWidth="1"/>
    <col min="14599" max="14599" width="20.5703125" customWidth="1"/>
    <col min="14600" max="14600" width="71.42578125" customWidth="1"/>
    <col min="14601" max="14601" width="55.85546875" customWidth="1"/>
    <col min="14602" max="14602" width="50" customWidth="1"/>
    <col min="14603" max="14603" width="40.42578125" customWidth="1"/>
    <col min="14849" max="14849" width="79" customWidth="1"/>
    <col min="14850" max="14850" width="42.5703125" customWidth="1"/>
    <col min="14851" max="14851" width="57.28515625" customWidth="1"/>
    <col min="14852" max="14852" width="54.7109375" customWidth="1"/>
    <col min="14853" max="14853" width="22.42578125" customWidth="1"/>
    <col min="14854" max="14854" width="70.85546875" customWidth="1"/>
    <col min="14855" max="14855" width="20.5703125" customWidth="1"/>
    <col min="14856" max="14856" width="71.42578125" customWidth="1"/>
    <col min="14857" max="14857" width="55.85546875" customWidth="1"/>
    <col min="14858" max="14858" width="50" customWidth="1"/>
    <col min="14859" max="14859" width="40.42578125" customWidth="1"/>
    <col min="15105" max="15105" width="79" customWidth="1"/>
    <col min="15106" max="15106" width="42.5703125" customWidth="1"/>
    <col min="15107" max="15107" width="57.28515625" customWidth="1"/>
    <col min="15108" max="15108" width="54.7109375" customWidth="1"/>
    <col min="15109" max="15109" width="22.42578125" customWidth="1"/>
    <col min="15110" max="15110" width="70.85546875" customWidth="1"/>
    <col min="15111" max="15111" width="20.5703125" customWidth="1"/>
    <col min="15112" max="15112" width="71.42578125" customWidth="1"/>
    <col min="15113" max="15113" width="55.85546875" customWidth="1"/>
    <col min="15114" max="15114" width="50" customWidth="1"/>
    <col min="15115" max="15115" width="40.42578125" customWidth="1"/>
    <col min="15361" max="15361" width="79" customWidth="1"/>
    <col min="15362" max="15362" width="42.5703125" customWidth="1"/>
    <col min="15363" max="15363" width="57.28515625" customWidth="1"/>
    <col min="15364" max="15364" width="54.7109375" customWidth="1"/>
    <col min="15365" max="15365" width="22.42578125" customWidth="1"/>
    <col min="15366" max="15366" width="70.85546875" customWidth="1"/>
    <col min="15367" max="15367" width="20.5703125" customWidth="1"/>
    <col min="15368" max="15368" width="71.42578125" customWidth="1"/>
    <col min="15369" max="15369" width="55.85546875" customWidth="1"/>
    <col min="15370" max="15370" width="50" customWidth="1"/>
    <col min="15371" max="15371" width="40.42578125" customWidth="1"/>
    <col min="15617" max="15617" width="79" customWidth="1"/>
    <col min="15618" max="15618" width="42.5703125" customWidth="1"/>
    <col min="15619" max="15619" width="57.28515625" customWidth="1"/>
    <col min="15620" max="15620" width="54.7109375" customWidth="1"/>
    <col min="15621" max="15621" width="22.42578125" customWidth="1"/>
    <col min="15622" max="15622" width="70.85546875" customWidth="1"/>
    <col min="15623" max="15623" width="20.5703125" customWidth="1"/>
    <col min="15624" max="15624" width="71.42578125" customWidth="1"/>
    <col min="15625" max="15625" width="55.85546875" customWidth="1"/>
    <col min="15626" max="15626" width="50" customWidth="1"/>
    <col min="15627" max="15627" width="40.42578125" customWidth="1"/>
    <col min="15873" max="15873" width="79" customWidth="1"/>
    <col min="15874" max="15874" width="42.5703125" customWidth="1"/>
    <col min="15875" max="15875" width="57.28515625" customWidth="1"/>
    <col min="15876" max="15876" width="54.7109375" customWidth="1"/>
    <col min="15877" max="15877" width="22.42578125" customWidth="1"/>
    <col min="15878" max="15878" width="70.85546875" customWidth="1"/>
    <col min="15879" max="15879" width="20.5703125" customWidth="1"/>
    <col min="15880" max="15880" width="71.42578125" customWidth="1"/>
    <col min="15881" max="15881" width="55.85546875" customWidth="1"/>
    <col min="15882" max="15882" width="50" customWidth="1"/>
    <col min="15883" max="15883" width="40.42578125" customWidth="1"/>
    <col min="16129" max="16129" width="79" customWidth="1"/>
    <col min="16130" max="16130" width="42.5703125" customWidth="1"/>
    <col min="16131" max="16131" width="57.28515625" customWidth="1"/>
    <col min="16132" max="16132" width="54.7109375" customWidth="1"/>
    <col min="16133" max="16133" width="22.42578125" customWidth="1"/>
    <col min="16134" max="16134" width="70.85546875" customWidth="1"/>
    <col min="16135" max="16135" width="20.5703125" customWidth="1"/>
    <col min="16136" max="16136" width="71.42578125" customWidth="1"/>
    <col min="16137" max="16137" width="55.85546875" customWidth="1"/>
    <col min="16138" max="16138" width="50" customWidth="1"/>
    <col min="16139" max="16139" width="40.42578125" customWidth="1"/>
  </cols>
  <sheetData>
    <row r="1" spans="1:4" ht="20.25" x14ac:dyDescent="0.3">
      <c r="A1" s="340" t="s">
        <v>360</v>
      </c>
    </row>
    <row r="2" spans="1:4" x14ac:dyDescent="0.25">
      <c r="A2" s="341" t="s">
        <v>361</v>
      </c>
      <c r="B2" t="b">
        <v>0</v>
      </c>
    </row>
    <row r="3" spans="1:4" x14ac:dyDescent="0.25">
      <c r="A3" s="341"/>
    </row>
    <row r="4" spans="1:4" x14ac:dyDescent="0.25">
      <c r="A4" s="385" t="s">
        <v>373</v>
      </c>
    </row>
    <row r="5" spans="1:4" x14ac:dyDescent="0.25">
      <c r="A5" t="s">
        <v>108</v>
      </c>
    </row>
    <row r="6" spans="1:4" x14ac:dyDescent="0.25">
      <c r="A6" t="s">
        <v>112</v>
      </c>
    </row>
    <row r="7" spans="1:4" x14ac:dyDescent="0.25">
      <c r="B7">
        <v>2</v>
      </c>
    </row>
    <row r="8" spans="1:4" ht="20.25" x14ac:dyDescent="0.3">
      <c r="A8" s="56" t="s">
        <v>101</v>
      </c>
    </row>
    <row r="10" spans="1:4" x14ac:dyDescent="0.25">
      <c r="A10" s="58" t="s">
        <v>102</v>
      </c>
      <c r="B10" s="55"/>
      <c r="C10" s="59"/>
    </row>
    <row r="11" spans="1:4" x14ac:dyDescent="0.25">
      <c r="A11" s="55" t="s">
        <v>103</v>
      </c>
      <c r="B11" s="55">
        <v>2</v>
      </c>
      <c r="C11" s="59"/>
    </row>
    <row r="12" spans="1:4" x14ac:dyDescent="0.25">
      <c r="A12" s="55"/>
      <c r="B12" s="55"/>
      <c r="C12" s="59"/>
    </row>
    <row r="13" spans="1:4" x14ac:dyDescent="0.25">
      <c r="A13" s="58" t="s">
        <v>104</v>
      </c>
      <c r="B13" s="55"/>
      <c r="C13" s="59"/>
    </row>
    <row r="14" spans="1:4" x14ac:dyDescent="0.25">
      <c r="A14" s="55" t="s">
        <v>105</v>
      </c>
      <c r="B14" s="55"/>
      <c r="C14" s="59"/>
    </row>
    <row r="15" spans="1:4" x14ac:dyDescent="0.25">
      <c r="A15" s="55" t="s">
        <v>106</v>
      </c>
      <c r="B15" s="55">
        <v>1</v>
      </c>
      <c r="C15" s="59"/>
    </row>
    <row r="16" spans="1:4" x14ac:dyDescent="0.25">
      <c r="A16" s="55"/>
      <c r="B16" s="55"/>
      <c r="C16" s="59" t="s">
        <v>162</v>
      </c>
      <c r="D16" s="120"/>
    </row>
    <row r="17" spans="1:4" x14ac:dyDescent="0.25">
      <c r="A17" s="55"/>
      <c r="B17" s="55"/>
      <c r="C17" s="59" t="s">
        <v>161</v>
      </c>
      <c r="D17" s="120"/>
    </row>
    <row r="18" spans="1:4" x14ac:dyDescent="0.25">
      <c r="A18" s="58" t="s">
        <v>107</v>
      </c>
      <c r="B18" s="55"/>
      <c r="C18" s="59" t="s">
        <v>164</v>
      </c>
      <c r="D18" s="120"/>
    </row>
    <row r="19" spans="1:4" x14ac:dyDescent="0.25">
      <c r="A19" s="55" t="s">
        <v>108</v>
      </c>
      <c r="B19" s="55"/>
      <c r="C19" s="59"/>
    </row>
    <row r="20" spans="1:4" x14ac:dyDescent="0.25">
      <c r="A20" s="55" t="s">
        <v>109</v>
      </c>
      <c r="B20" s="55"/>
      <c r="C20" s="59"/>
    </row>
    <row r="21" spans="1:4" x14ac:dyDescent="0.25">
      <c r="A21" s="55" t="s">
        <v>110</v>
      </c>
      <c r="B21" s="55"/>
      <c r="C21" s="59"/>
    </row>
    <row r="22" spans="1:4" x14ac:dyDescent="0.25">
      <c r="A22" s="55"/>
      <c r="B22" s="55">
        <v>1</v>
      </c>
      <c r="C22" s="59"/>
    </row>
    <row r="23" spans="1:4" x14ac:dyDescent="0.25">
      <c r="A23" s="49" t="s">
        <v>111</v>
      </c>
      <c r="C23" s="59"/>
    </row>
    <row r="24" spans="1:4" x14ac:dyDescent="0.25">
      <c r="A24" s="50" t="s">
        <v>108</v>
      </c>
      <c r="B24" t="str">
        <f>IF(B15=1,"Ja","N.v.t.")</f>
        <v>Ja</v>
      </c>
      <c r="C24" s="59"/>
    </row>
    <row r="25" spans="1:4" x14ac:dyDescent="0.25">
      <c r="A25" s="50" t="s">
        <v>112</v>
      </c>
      <c r="B25" t="str">
        <f>IF(B15=1,"Nee","")</f>
        <v>Nee</v>
      </c>
      <c r="C25" s="59"/>
    </row>
    <row r="26" spans="1:4" x14ac:dyDescent="0.25">
      <c r="A26" s="50" t="s">
        <v>113</v>
      </c>
      <c r="C26" s="59"/>
    </row>
    <row r="27" spans="1:4" x14ac:dyDescent="0.25">
      <c r="A27" s="50" t="s">
        <v>114</v>
      </c>
      <c r="B27">
        <v>1</v>
      </c>
      <c r="C27" s="59"/>
    </row>
    <row r="28" spans="1:4" x14ac:dyDescent="0.25">
      <c r="A28" s="50"/>
      <c r="C28" s="59"/>
    </row>
    <row r="29" spans="1:4" x14ac:dyDescent="0.25">
      <c r="A29" s="49" t="s">
        <v>115</v>
      </c>
      <c r="C29" s="59"/>
    </row>
    <row r="30" spans="1:4" x14ac:dyDescent="0.25">
      <c r="A30" s="50" t="s">
        <v>116</v>
      </c>
      <c r="B30">
        <v>1</v>
      </c>
      <c r="C30" s="59"/>
    </row>
    <row r="31" spans="1:4" x14ac:dyDescent="0.25">
      <c r="A31" s="55"/>
      <c r="B31" s="55"/>
      <c r="C31" s="59"/>
    </row>
    <row r="32" spans="1:4" ht="18" x14ac:dyDescent="0.25">
      <c r="A32" s="57" t="s">
        <v>117</v>
      </c>
      <c r="B32" s="55"/>
      <c r="C32" s="59"/>
    </row>
    <row r="33" spans="1:11" x14ac:dyDescent="0.25">
      <c r="A33" s="55"/>
      <c r="B33" s="55"/>
      <c r="C33" s="59"/>
    </row>
    <row r="34" spans="1:11" x14ac:dyDescent="0.25">
      <c r="A34" s="49" t="s">
        <v>118</v>
      </c>
    </row>
    <row r="35" spans="1:11" x14ac:dyDescent="0.25">
      <c r="A35" s="50" t="s">
        <v>119</v>
      </c>
      <c r="F35" s="49"/>
      <c r="H35" s="49"/>
    </row>
    <row r="36" spans="1:11" x14ac:dyDescent="0.25">
      <c r="A36" s="50" t="s">
        <v>120</v>
      </c>
      <c r="F36" s="49"/>
      <c r="H36" s="49"/>
    </row>
    <row r="37" spans="1:11" x14ac:dyDescent="0.25">
      <c r="A37">
        <v>1</v>
      </c>
      <c r="F37" s="49"/>
      <c r="H37" s="49"/>
    </row>
    <row r="38" spans="1:11" x14ac:dyDescent="0.25">
      <c r="A38" s="49" t="s">
        <v>121</v>
      </c>
      <c r="B38" s="49"/>
      <c r="C38" s="49"/>
      <c r="D38" s="49"/>
      <c r="E38" s="60"/>
      <c r="G38" s="60"/>
    </row>
    <row r="39" spans="1:11" x14ac:dyDescent="0.25">
      <c r="A39" s="50" t="s">
        <v>108</v>
      </c>
      <c r="B39" s="50"/>
      <c r="C39" s="50"/>
      <c r="E39" s="60"/>
      <c r="F39" s="50"/>
      <c r="G39" s="60"/>
    </row>
    <row r="40" spans="1:11" x14ac:dyDescent="0.25">
      <c r="A40" s="50" t="s">
        <v>112</v>
      </c>
      <c r="B40" s="50"/>
      <c r="C40" s="50"/>
      <c r="E40" s="60"/>
      <c r="G40" s="60"/>
      <c r="H40" s="50"/>
      <c r="I40" s="49"/>
      <c r="J40" s="49"/>
      <c r="K40" s="49"/>
    </row>
    <row r="41" spans="1:11" x14ac:dyDescent="0.25">
      <c r="A41" s="50" t="s">
        <v>113</v>
      </c>
      <c r="B41" s="50"/>
      <c r="C41" s="50"/>
      <c r="E41" s="60"/>
      <c r="F41" s="50"/>
      <c r="H41" s="50"/>
      <c r="I41" s="50"/>
      <c r="J41" s="50"/>
    </row>
    <row r="42" spans="1:11" x14ac:dyDescent="0.25">
      <c r="A42" s="50"/>
      <c r="B42" s="50"/>
      <c r="C42" s="50"/>
      <c r="E42" s="60"/>
      <c r="F42" s="50"/>
      <c r="H42" s="50"/>
      <c r="I42" s="50"/>
      <c r="J42" s="50"/>
    </row>
    <row r="43" spans="1:11" x14ac:dyDescent="0.25">
      <c r="A43" s="50"/>
      <c r="B43" s="50"/>
      <c r="C43" s="50"/>
      <c r="E43" s="60"/>
      <c r="F43" s="50"/>
      <c r="H43" s="50"/>
      <c r="I43" s="50"/>
      <c r="J43" s="50"/>
    </row>
    <row r="44" spans="1:11" x14ac:dyDescent="0.25">
      <c r="A44" s="49" t="s">
        <v>277</v>
      </c>
      <c r="B44" s="50"/>
      <c r="C44" s="50"/>
      <c r="E44" s="60"/>
      <c r="F44" s="50"/>
      <c r="H44" s="50"/>
      <c r="I44" s="50"/>
      <c r="J44" s="50"/>
    </row>
    <row r="45" spans="1:11" x14ac:dyDescent="0.25">
      <c r="A45" s="302" t="s">
        <v>278</v>
      </c>
      <c r="B45" s="302" t="s">
        <v>279</v>
      </c>
      <c r="C45" s="50"/>
      <c r="E45" s="60"/>
      <c r="F45" s="50"/>
      <c r="H45" s="50"/>
      <c r="I45" s="50"/>
      <c r="J45" s="50"/>
    </row>
    <row r="46" spans="1:11" x14ac:dyDescent="0.25">
      <c r="A46" s="50">
        <v>1</v>
      </c>
      <c r="B46" s="303" t="e">
        <f>IF(Exploitatieberekening!$B$30&lt;100%,SUM(Exploitatieberekening!$O$119:'Exploitatieberekening'!$O$119)/(SUM(Exploitatieberekening!$O$100:'Exploitatieberekening'!$O$100)+SUM(Exploitatieberekening!$O$101:'Exploitatieberekening'!$O$101)),"n.v.t., geen vreemd vermogen")</f>
        <v>#DIV/0!</v>
      </c>
      <c r="C46" s="50"/>
      <c r="E46" s="60"/>
      <c r="F46" s="50"/>
      <c r="H46" s="50"/>
      <c r="I46" s="50"/>
      <c r="J46" s="50"/>
    </row>
    <row r="47" spans="1:11" x14ac:dyDescent="0.25">
      <c r="A47" s="50">
        <v>2</v>
      </c>
      <c r="B47" s="303" t="e">
        <f>IF(Exploitatieberekening!$B$30&lt;100%,SUM(Exploitatieberekening!$O$119:'Exploitatieberekening'!$P$119)/(SUM(Exploitatieberekening!$O$100:'Exploitatieberekening'!$P$100)+SUM(Exploitatieberekening!$O$101:'Exploitatieberekening'!$P$101)),"n.v.t., geen vreemd vermogen")</f>
        <v>#DIV/0!</v>
      </c>
      <c r="C47" s="50"/>
      <c r="E47" s="60"/>
      <c r="F47" s="50"/>
      <c r="H47" s="50"/>
      <c r="I47" s="50"/>
      <c r="J47" s="50"/>
    </row>
    <row r="48" spans="1:11" x14ac:dyDescent="0.25">
      <c r="A48" s="50">
        <v>3</v>
      </c>
      <c r="B48" s="303" t="e">
        <f>IF(Exploitatieberekening!$B$30&lt;100%,SUM(Exploitatieberekening!$O$119:'Exploitatieberekening'!$Q$119)/(SUM(Exploitatieberekening!$O$100:'Exploitatieberekening'!$Q$100)+SUM(Exploitatieberekening!$O$101:'Exploitatieberekening'!$Q$101)),"n.v.t., geen vreemd vermogen")</f>
        <v>#DIV/0!</v>
      </c>
      <c r="C48" s="50"/>
      <c r="E48" s="60"/>
      <c r="F48" s="50"/>
      <c r="H48" s="50"/>
      <c r="I48" s="50"/>
      <c r="J48" s="50"/>
    </row>
    <row r="49" spans="1:18" x14ac:dyDescent="0.25">
      <c r="A49" s="50">
        <v>4</v>
      </c>
      <c r="B49" s="303" t="e">
        <f>IF(Exploitatieberekening!$B$30&lt;100%,SUM(Exploitatieberekening!$O$119:'Exploitatieberekening'!$R$119)/(SUM(Exploitatieberekening!$O$100:'Exploitatieberekening'!$R$100)+SUM(Exploitatieberekening!$O$101:'Exploitatieberekening'!$R$101)),"n.v.t., geen vreemd vermogen")</f>
        <v>#DIV/0!</v>
      </c>
      <c r="C49" s="50"/>
      <c r="E49" s="60"/>
      <c r="F49" s="50"/>
      <c r="H49" s="50"/>
      <c r="I49" s="50"/>
      <c r="J49" s="50"/>
    </row>
    <row r="50" spans="1:18" x14ac:dyDescent="0.25">
      <c r="A50" s="50">
        <v>5</v>
      </c>
      <c r="B50" s="303" t="e">
        <f>IF(Exploitatieberekening!$B$30&lt;100%,SUM(Exploitatieberekening!$O$119:'Exploitatieberekening'!$S$119)/(SUM(Exploitatieberekening!$O$100:'Exploitatieberekening'!$S$100)+SUM(Exploitatieberekening!$O$101:'Exploitatieberekening'!$S$101)),"n.v.t., geen vreemd vermogen")</f>
        <v>#DIV/0!</v>
      </c>
      <c r="C50" s="50"/>
      <c r="E50" s="60"/>
      <c r="F50" s="50"/>
      <c r="H50" s="50"/>
      <c r="I50" s="50"/>
      <c r="J50" s="50"/>
    </row>
    <row r="51" spans="1:18" x14ac:dyDescent="0.25">
      <c r="A51" s="50">
        <v>6</v>
      </c>
      <c r="B51" s="303" t="e">
        <f>IF(Exploitatieberekening!$B$30&lt;100%,SUM(Exploitatieberekening!$O$119:'Exploitatieberekening'!$T$119)/(SUM(Exploitatieberekening!$O$100:'Exploitatieberekening'!$T$100)+SUM(Exploitatieberekening!$O$101:'Exploitatieberekening'!$T$101)),"n.v.t., geen vreemd vermogen")</f>
        <v>#DIV/0!</v>
      </c>
      <c r="C51" s="50"/>
      <c r="E51" s="60"/>
      <c r="F51" s="50"/>
      <c r="H51" s="50"/>
      <c r="I51" s="50"/>
      <c r="J51" s="50"/>
    </row>
    <row r="52" spans="1:18" x14ac:dyDescent="0.25">
      <c r="A52" s="50">
        <v>7</v>
      </c>
      <c r="B52" s="303" t="e">
        <f>IF(Exploitatieberekening!$B$30&lt;100%,SUM(Exploitatieberekening!$O$119:'Exploitatieberekening'!$U$119)/(SUM(Exploitatieberekening!$O$100:'Exploitatieberekening'!$U$100)+SUM(Exploitatieberekening!$O$101:'Exploitatieberekening'!$U$101)),"n.v.t., geen vreemd vermogen")</f>
        <v>#DIV/0!</v>
      </c>
      <c r="C52" s="50"/>
      <c r="E52" s="60"/>
      <c r="F52" s="50"/>
      <c r="H52" s="50"/>
      <c r="I52" s="50"/>
      <c r="J52" s="50"/>
    </row>
    <row r="53" spans="1:18" x14ac:dyDescent="0.25">
      <c r="A53" s="50">
        <v>8</v>
      </c>
      <c r="B53" s="303" t="e">
        <f>IF(Exploitatieberekening!$B$30&lt;100%,SUM(Exploitatieberekening!$O$119:'Exploitatieberekening'!$V$119)/(SUM(Exploitatieberekening!$O$100:'Exploitatieberekening'!$V$100)+SUM(Exploitatieberekening!$O$101:'Exploitatieberekening'!$V$101)),"n.v.t., geen vreemd vermogen")</f>
        <v>#DIV/0!</v>
      </c>
      <c r="C53" s="50"/>
      <c r="E53" s="60"/>
      <c r="F53" s="50"/>
      <c r="H53" s="50"/>
      <c r="I53" s="50"/>
      <c r="J53" s="50"/>
    </row>
    <row r="54" spans="1:18" x14ac:dyDescent="0.25">
      <c r="A54" s="50">
        <v>9</v>
      </c>
      <c r="B54" s="303" t="e">
        <f>IF(Exploitatieberekening!$B$30&lt;100%,SUM(Exploitatieberekening!$O$119:'Exploitatieberekening'!$W$119)/(SUM(Exploitatieberekening!$O$100:'Exploitatieberekening'!$W$100)+SUM(Exploitatieberekening!$O$101:'Exploitatieberekening'!$W$101)),"n.v.t., geen vreemd vermogen")</f>
        <v>#DIV/0!</v>
      </c>
      <c r="C54" s="50"/>
      <c r="E54" s="60"/>
      <c r="F54" s="50"/>
      <c r="H54" s="50"/>
      <c r="I54" s="50"/>
      <c r="J54" s="50"/>
    </row>
    <row r="55" spans="1:18" x14ac:dyDescent="0.25">
      <c r="A55" s="50">
        <v>10</v>
      </c>
      <c r="B55" s="303" t="e">
        <f>IF(Exploitatieberekening!$B$30&lt;100%,SUM(Exploitatieberekening!$O$119:'Exploitatieberekening'!$X$119)/(SUM(Exploitatieberekening!$O$100:'Exploitatieberekening'!$X$100)+SUM(Exploitatieberekening!$O$101:'Exploitatieberekening'!$X$101)),"n.v.t., geen vreemd vermogen")</f>
        <v>#DIV/0!</v>
      </c>
      <c r="C55" s="50"/>
      <c r="E55" s="60"/>
      <c r="F55" s="50"/>
      <c r="H55" s="50"/>
      <c r="I55" s="50"/>
      <c r="J55" s="50"/>
    </row>
    <row r="56" spans="1:18" x14ac:dyDescent="0.25">
      <c r="A56" s="50">
        <v>11</v>
      </c>
      <c r="B56" s="303" t="e">
        <f>IF(Exploitatieberekening!$B$30&lt;100%,SUM(Exploitatieberekening!$O$119:'Exploitatieberekening'!$Y$119)/(SUM(Exploitatieberekening!$O$100:'Exploitatieberekening'!$Y$100)+SUM(Exploitatieberekening!$O$101:'Exploitatieberekening'!$Y$101)),"n.v.t., geen vreemd vermogen")</f>
        <v>#DIV/0!</v>
      </c>
      <c r="C56" s="50"/>
      <c r="E56" s="60"/>
      <c r="F56" s="50"/>
      <c r="H56" s="50"/>
      <c r="I56" s="50"/>
      <c r="J56" s="50"/>
    </row>
    <row r="57" spans="1:18" x14ac:dyDescent="0.25">
      <c r="A57" s="50">
        <v>12</v>
      </c>
      <c r="B57" s="303" t="e">
        <f>IF(Exploitatieberekening!$B$30&lt;100%,SUM(Exploitatieberekening!$O$119:'Exploitatieberekening'!$Z$119)/(SUM(Exploitatieberekening!$O$100:'Exploitatieberekening'!$Z$100)+SUM(Exploitatieberekening!$O$101:'Exploitatieberekening'!$Z$101)),"n.v.t., geen vreemd vermogen")</f>
        <v>#DIV/0!</v>
      </c>
      <c r="C57" s="50"/>
      <c r="E57" s="60"/>
      <c r="F57" s="50"/>
      <c r="H57" s="50"/>
      <c r="I57" s="50"/>
      <c r="J57" s="50"/>
    </row>
    <row r="58" spans="1:18" x14ac:dyDescent="0.25">
      <c r="A58" s="50">
        <v>13</v>
      </c>
      <c r="B58" s="303" t="e">
        <f>IF(Exploitatieberekening!$B$30&lt;100%,SUM(Exploitatieberekening!$O$119:'Exploitatieberekening'!$AA$119)/(SUM(Exploitatieberekening!$O$100:'Exploitatieberekening'!$AA$100)+SUM(Exploitatieberekening!$O$101:'Exploitatieberekening'!$AA$101)),"n.v.t., geen vreemd vermogen")</f>
        <v>#DIV/0!</v>
      </c>
      <c r="C58" s="50"/>
      <c r="E58" s="60"/>
      <c r="F58" s="50"/>
      <c r="H58" s="50"/>
      <c r="I58" s="50"/>
      <c r="J58" s="50"/>
    </row>
    <row r="59" spans="1:18" x14ac:dyDescent="0.25">
      <c r="A59" s="50">
        <v>14</v>
      </c>
      <c r="B59" s="303" t="e">
        <f>IF(Exploitatieberekening!$B$30&lt;100%,SUM(Exploitatieberekening!$O$119:'Exploitatieberekening'!$AB$119)/(SUM(Exploitatieberekening!$O$100:'Exploitatieberekening'!$AB$100)+SUM(Exploitatieberekening!$O$101:'Exploitatieberekening'!$AB$101)),"n.v.t., geen vreemd vermogen")</f>
        <v>#DIV/0!</v>
      </c>
      <c r="C59" s="50"/>
      <c r="E59" s="60"/>
      <c r="F59" s="50"/>
      <c r="H59" s="50"/>
      <c r="I59" s="50"/>
      <c r="J59" s="50"/>
    </row>
    <row r="60" spans="1:18" x14ac:dyDescent="0.25">
      <c r="A60">
        <v>15</v>
      </c>
      <c r="B60" s="303" t="e">
        <f>IF(Exploitatieberekening!$B$30&lt;100%,SUM(Exploitatieberekening!$O$119:'Exploitatieberekening'!$AC$119)/(SUM(Exploitatieberekening!$O$100:'Exploitatieberekening'!$AC$100)+SUM(Exploitatieberekening!$O$101:'Exploitatieberekening'!$AC$101)),"n.v.t., geen vreemd vermogen")</f>
        <v>#DIV/0!</v>
      </c>
      <c r="E60" s="60"/>
      <c r="F60" s="50"/>
      <c r="H60" s="50"/>
      <c r="I60" s="50"/>
      <c r="J60" s="50"/>
      <c r="K60" s="50"/>
    </row>
    <row r="61" spans="1:18" ht="12" customHeight="1" x14ac:dyDescent="0.25">
      <c r="A61" s="50"/>
      <c r="B61" s="50"/>
      <c r="F61" s="50"/>
      <c r="H61" s="50"/>
      <c r="I61" s="50"/>
    </row>
    <row r="62" spans="1:18" ht="21.75" customHeight="1" x14ac:dyDescent="0.25">
      <c r="A62" s="61" t="s">
        <v>122</v>
      </c>
      <c r="B62" s="54"/>
      <c r="C62" s="60"/>
      <c r="D62" s="60"/>
      <c r="E62" s="60"/>
      <c r="F62" s="60"/>
      <c r="G62" s="60"/>
      <c r="H62" s="60"/>
      <c r="I62" s="60"/>
      <c r="J62" s="60"/>
      <c r="K62" s="60"/>
      <c r="L62" s="60"/>
      <c r="M62" s="60"/>
      <c r="N62" s="60"/>
      <c r="O62" s="60"/>
      <c r="P62" s="60"/>
      <c r="Q62" s="60"/>
      <c r="R62" s="60"/>
    </row>
    <row r="63" spans="1:18" ht="15" customHeight="1" x14ac:dyDescent="0.25">
      <c r="A63" s="83" t="s">
        <v>225</v>
      </c>
      <c r="B63" s="83"/>
      <c r="C63" s="84"/>
      <c r="D63" s="84"/>
      <c r="F63" s="49"/>
      <c r="H63" s="50"/>
      <c r="I63" s="50"/>
    </row>
    <row r="64" spans="1:18" ht="101.25" customHeight="1" x14ac:dyDescent="0.25">
      <c r="A64" s="609" t="s">
        <v>239</v>
      </c>
      <c r="B64" s="609"/>
      <c r="C64" s="610"/>
      <c r="D64" s="610"/>
      <c r="E64" s="62"/>
      <c r="F64" s="611"/>
      <c r="G64" s="590"/>
      <c r="H64" s="590"/>
    </row>
    <row r="65" spans="1:8" ht="15" customHeight="1" x14ac:dyDescent="0.25">
      <c r="A65" s="83" t="s">
        <v>235</v>
      </c>
      <c r="B65" s="55"/>
      <c r="C65" s="59"/>
      <c r="D65" s="59"/>
      <c r="E65" s="62"/>
      <c r="F65" s="611"/>
      <c r="G65" s="590"/>
      <c r="H65" s="590"/>
    </row>
    <row r="66" spans="1:8" ht="75" customHeight="1" x14ac:dyDescent="0.25">
      <c r="A66" s="612" t="s">
        <v>236</v>
      </c>
      <c r="B66" s="610"/>
      <c r="C66" s="610"/>
      <c r="D66" s="610"/>
      <c r="F66" s="611"/>
      <c r="G66" s="590"/>
      <c r="H66" s="590"/>
    </row>
    <row r="67" spans="1:8" ht="15" customHeight="1" x14ac:dyDescent="0.25">
      <c r="A67" s="85" t="s">
        <v>237</v>
      </c>
      <c r="B67" s="59"/>
      <c r="C67" s="59"/>
      <c r="D67" s="59"/>
      <c r="F67" s="55"/>
      <c r="G67" s="63"/>
      <c r="H67" s="63"/>
    </row>
    <row r="68" spans="1:8" ht="75" customHeight="1" x14ac:dyDescent="0.25">
      <c r="A68" s="609" t="s">
        <v>238</v>
      </c>
      <c r="B68" s="609"/>
      <c r="C68" s="610"/>
      <c r="D68" s="610"/>
      <c r="F68" s="55"/>
      <c r="G68" s="63"/>
      <c r="H68" s="63"/>
    </row>
    <row r="69" spans="1:8" s="63" customFormat="1" ht="12.75" customHeight="1" x14ac:dyDescent="0.25"/>
    <row r="70" spans="1:8" s="63" customFormat="1" ht="16.5" customHeight="1" x14ac:dyDescent="0.25">
      <c r="A70" s="64" t="s">
        <v>123</v>
      </c>
    </row>
    <row r="71" spans="1:8" s="63" customFormat="1" ht="15" customHeight="1" x14ac:dyDescent="0.25">
      <c r="A71" s="82" t="s">
        <v>225</v>
      </c>
      <c r="B71" s="55" t="str">
        <f>A64</f>
        <v xml:space="preserve">Ter onderbouwing geeft u een beschrijving van uw productie-installatie voor waterstof en een beschrijving van het wind- en/of zonnepark waaraan de waterstofproductie-installatie direct is gekoppeld. Tevens een beschrijving van het wind- en/of zonnepark(en) waarmee voor de waterstofproductie-installatie een stroomcontract (PPA) beoogt te worden afgesloten met tussenkomst van het net. Daarnaast geeft u een onderbouwing van de jaarlijkse hoeveelheid waterstofproductie met hierbij een waterstofopbrengstberekening. 
Verder onderbouwt u dat uw waterstof productie-installatie voornamelijk in staat is alleen te produceren op de electriciteitsproductie van het wind- en/of zonnepark dat direct gekoppeld is en beoogd gecontracteerd voor stroomlevering via het net.
</v>
      </c>
    </row>
    <row r="72" spans="1:8" s="63" customFormat="1" ht="15" customHeight="1" x14ac:dyDescent="0.25">
      <c r="A72" s="82" t="s">
        <v>223</v>
      </c>
      <c r="B72" s="55" t="str">
        <f>A66</f>
        <v xml:space="preserve">Ter onderbouwing geeft u een beschrijving van uw productie-installatie voor waterstof en een beschrijving van het wind- en/of zonnepark(en) waarmee voor de waterstofproductie-installatie een stroomcontract (PPA) beoogt te worden afgesloten. Daarnaast geeft u een onderbouwing van de jaarlijkse hoeveelheid waterstofproductie met hierbij een waterstofopbrengstberekening.  
Verder onderbouwt u dat uw waterstof productie-installatie voornamelijk in staat is alleen te produceren op de electriciteitsproductie van het wind- en/of zonnepark(en) waarmee voor de waterstofproductie-installatie een stroomcontract (PPA) beoogt te worden afgesloten. </v>
      </c>
    </row>
    <row r="73" spans="1:8" s="63" customFormat="1" ht="15" customHeight="1" x14ac:dyDescent="0.25">
      <c r="A73" s="82" t="s">
        <v>224</v>
      </c>
      <c r="B73" s="55" t="str">
        <f>A68</f>
        <v xml:space="preserve">Ter onderbouwing geeft u een beschrijving van uw productie-installatie voor waterstof en een beschrijving van het wind- en/of zonnepark waaraan de waterstofproductie-installatie direct is gekoppeld. Daarnaast geeft u een onderbouwing van de jaarlijkse hoeveelheid waterstofproductie met hierbij een waterstofopbrengstberekening. 
Verder onderbouwt u dat uw waterstof productie-installatie voornamelijk in staat is alleen te produceren op de electriciteitsproductie van het direct gekoppelde wind- en/of zonnepark 
</v>
      </c>
    </row>
    <row r="75" spans="1:8" x14ac:dyDescent="0.25">
      <c r="A75" s="49" t="s">
        <v>124</v>
      </c>
    </row>
    <row r="76" spans="1:8" x14ac:dyDescent="0.25">
      <c r="A76" s="54" t="str">
        <f>Hulpblad_categorieën_parameters!C7</f>
        <v>Elektrolyser met aansluiting gekoppeld aan het elektriciteitsnet</v>
      </c>
      <c r="B76" s="65"/>
      <c r="C76" s="65"/>
      <c r="D76" s="65"/>
    </row>
    <row r="77" spans="1:8" x14ac:dyDescent="0.25">
      <c r="B77" s="65"/>
      <c r="C77" s="65"/>
      <c r="D77" s="65"/>
    </row>
    <row r="78" spans="1:8" x14ac:dyDescent="0.25">
      <c r="B78" s="65"/>
      <c r="C78" s="65"/>
      <c r="D78" s="65"/>
    </row>
    <row r="79" spans="1:8" x14ac:dyDescent="0.25">
      <c r="B79" s="50"/>
    </row>
  </sheetData>
  <mergeCells count="6">
    <mergeCell ref="A68:D68"/>
    <mergeCell ref="A64:D64"/>
    <mergeCell ref="F64:H64"/>
    <mergeCell ref="F65:H65"/>
    <mergeCell ref="A66:D66"/>
    <mergeCell ref="F66:H6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C27ED-307E-4206-B654-95331224131D}">
  <dimension ref="A1:S24"/>
  <sheetViews>
    <sheetView workbookViewId="0">
      <selection activeCell="L10" sqref="L10"/>
    </sheetView>
  </sheetViews>
  <sheetFormatPr defaultRowHeight="15" x14ac:dyDescent="0.25"/>
  <cols>
    <col min="1" max="1" width="56" style="3" customWidth="1"/>
    <col min="2" max="2" width="12.7109375" style="3" customWidth="1"/>
    <col min="3" max="18" width="15.7109375" style="3" customWidth="1"/>
    <col min="19" max="256" width="9.140625" style="3"/>
    <col min="257" max="257" width="56" style="3" customWidth="1"/>
    <col min="258" max="258" width="12.7109375" style="3" customWidth="1"/>
    <col min="259" max="274" width="15.7109375" style="3" customWidth="1"/>
    <col min="275" max="512" width="9.140625" style="3"/>
    <col min="513" max="513" width="56" style="3" customWidth="1"/>
    <col min="514" max="514" width="12.7109375" style="3" customWidth="1"/>
    <col min="515" max="530" width="15.7109375" style="3" customWidth="1"/>
    <col min="531" max="768" width="9.140625" style="3"/>
    <col min="769" max="769" width="56" style="3" customWidth="1"/>
    <col min="770" max="770" width="12.7109375" style="3" customWidth="1"/>
    <col min="771" max="786" width="15.7109375" style="3" customWidth="1"/>
    <col min="787" max="1024" width="9.140625" style="3"/>
    <col min="1025" max="1025" width="56" style="3" customWidth="1"/>
    <col min="1026" max="1026" width="12.7109375" style="3" customWidth="1"/>
    <col min="1027" max="1042" width="15.7109375" style="3" customWidth="1"/>
    <col min="1043" max="1280" width="9.140625" style="3"/>
    <col min="1281" max="1281" width="56" style="3" customWidth="1"/>
    <col min="1282" max="1282" width="12.7109375" style="3" customWidth="1"/>
    <col min="1283" max="1298" width="15.7109375" style="3" customWidth="1"/>
    <col min="1299" max="1536" width="9.140625" style="3"/>
    <col min="1537" max="1537" width="56" style="3" customWidth="1"/>
    <col min="1538" max="1538" width="12.7109375" style="3" customWidth="1"/>
    <col min="1539" max="1554" width="15.7109375" style="3" customWidth="1"/>
    <col min="1555" max="1792" width="9.140625" style="3"/>
    <col min="1793" max="1793" width="56" style="3" customWidth="1"/>
    <col min="1794" max="1794" width="12.7109375" style="3" customWidth="1"/>
    <col min="1795" max="1810" width="15.7109375" style="3" customWidth="1"/>
    <col min="1811" max="2048" width="9.140625" style="3"/>
    <col min="2049" max="2049" width="56" style="3" customWidth="1"/>
    <col min="2050" max="2050" width="12.7109375" style="3" customWidth="1"/>
    <col min="2051" max="2066" width="15.7109375" style="3" customWidth="1"/>
    <col min="2067" max="2304" width="9.140625" style="3"/>
    <col min="2305" max="2305" width="56" style="3" customWidth="1"/>
    <col min="2306" max="2306" width="12.7109375" style="3" customWidth="1"/>
    <col min="2307" max="2322" width="15.7109375" style="3" customWidth="1"/>
    <col min="2323" max="2560" width="9.140625" style="3"/>
    <col min="2561" max="2561" width="56" style="3" customWidth="1"/>
    <col min="2562" max="2562" width="12.7109375" style="3" customWidth="1"/>
    <col min="2563" max="2578" width="15.7109375" style="3" customWidth="1"/>
    <col min="2579" max="2816" width="9.140625" style="3"/>
    <col min="2817" max="2817" width="56" style="3" customWidth="1"/>
    <col min="2818" max="2818" width="12.7109375" style="3" customWidth="1"/>
    <col min="2819" max="2834" width="15.7109375" style="3" customWidth="1"/>
    <col min="2835" max="3072" width="9.140625" style="3"/>
    <col min="3073" max="3073" width="56" style="3" customWidth="1"/>
    <col min="3074" max="3074" width="12.7109375" style="3" customWidth="1"/>
    <col min="3075" max="3090" width="15.7109375" style="3" customWidth="1"/>
    <col min="3091" max="3328" width="9.140625" style="3"/>
    <col min="3329" max="3329" width="56" style="3" customWidth="1"/>
    <col min="3330" max="3330" width="12.7109375" style="3" customWidth="1"/>
    <col min="3331" max="3346" width="15.7109375" style="3" customWidth="1"/>
    <col min="3347" max="3584" width="9.140625" style="3"/>
    <col min="3585" max="3585" width="56" style="3" customWidth="1"/>
    <col min="3586" max="3586" width="12.7109375" style="3" customWidth="1"/>
    <col min="3587" max="3602" width="15.7109375" style="3" customWidth="1"/>
    <col min="3603" max="3840" width="9.140625" style="3"/>
    <col min="3841" max="3841" width="56" style="3" customWidth="1"/>
    <col min="3842" max="3842" width="12.7109375" style="3" customWidth="1"/>
    <col min="3843" max="3858" width="15.7109375" style="3" customWidth="1"/>
    <col min="3859" max="4096" width="9.140625" style="3"/>
    <col min="4097" max="4097" width="56" style="3" customWidth="1"/>
    <col min="4098" max="4098" width="12.7109375" style="3" customWidth="1"/>
    <col min="4099" max="4114" width="15.7109375" style="3" customWidth="1"/>
    <col min="4115" max="4352" width="9.140625" style="3"/>
    <col min="4353" max="4353" width="56" style="3" customWidth="1"/>
    <col min="4354" max="4354" width="12.7109375" style="3" customWidth="1"/>
    <col min="4355" max="4370" width="15.7109375" style="3" customWidth="1"/>
    <col min="4371" max="4608" width="9.140625" style="3"/>
    <col min="4609" max="4609" width="56" style="3" customWidth="1"/>
    <col min="4610" max="4610" width="12.7109375" style="3" customWidth="1"/>
    <col min="4611" max="4626" width="15.7109375" style="3" customWidth="1"/>
    <col min="4627" max="4864" width="9.140625" style="3"/>
    <col min="4865" max="4865" width="56" style="3" customWidth="1"/>
    <col min="4866" max="4866" width="12.7109375" style="3" customWidth="1"/>
    <col min="4867" max="4882" width="15.7109375" style="3" customWidth="1"/>
    <col min="4883" max="5120" width="9.140625" style="3"/>
    <col min="5121" max="5121" width="56" style="3" customWidth="1"/>
    <col min="5122" max="5122" width="12.7109375" style="3" customWidth="1"/>
    <col min="5123" max="5138" width="15.7109375" style="3" customWidth="1"/>
    <col min="5139" max="5376" width="9.140625" style="3"/>
    <col min="5377" max="5377" width="56" style="3" customWidth="1"/>
    <col min="5378" max="5378" width="12.7109375" style="3" customWidth="1"/>
    <col min="5379" max="5394" width="15.7109375" style="3" customWidth="1"/>
    <col min="5395" max="5632" width="9.140625" style="3"/>
    <col min="5633" max="5633" width="56" style="3" customWidth="1"/>
    <col min="5634" max="5634" width="12.7109375" style="3" customWidth="1"/>
    <col min="5635" max="5650" width="15.7109375" style="3" customWidth="1"/>
    <col min="5651" max="5888" width="9.140625" style="3"/>
    <col min="5889" max="5889" width="56" style="3" customWidth="1"/>
    <col min="5890" max="5890" width="12.7109375" style="3" customWidth="1"/>
    <col min="5891" max="5906" width="15.7109375" style="3" customWidth="1"/>
    <col min="5907" max="6144" width="9.140625" style="3"/>
    <col min="6145" max="6145" width="56" style="3" customWidth="1"/>
    <col min="6146" max="6146" width="12.7109375" style="3" customWidth="1"/>
    <col min="6147" max="6162" width="15.7109375" style="3" customWidth="1"/>
    <col min="6163" max="6400" width="9.140625" style="3"/>
    <col min="6401" max="6401" width="56" style="3" customWidth="1"/>
    <col min="6402" max="6402" width="12.7109375" style="3" customWidth="1"/>
    <col min="6403" max="6418" width="15.7109375" style="3" customWidth="1"/>
    <col min="6419" max="6656" width="9.140625" style="3"/>
    <col min="6657" max="6657" width="56" style="3" customWidth="1"/>
    <col min="6658" max="6658" width="12.7109375" style="3" customWidth="1"/>
    <col min="6659" max="6674" width="15.7109375" style="3" customWidth="1"/>
    <col min="6675" max="6912" width="9.140625" style="3"/>
    <col min="6913" max="6913" width="56" style="3" customWidth="1"/>
    <col min="6914" max="6914" width="12.7109375" style="3" customWidth="1"/>
    <col min="6915" max="6930" width="15.7109375" style="3" customWidth="1"/>
    <col min="6931" max="7168" width="9.140625" style="3"/>
    <col min="7169" max="7169" width="56" style="3" customWidth="1"/>
    <col min="7170" max="7170" width="12.7109375" style="3" customWidth="1"/>
    <col min="7171" max="7186" width="15.7109375" style="3" customWidth="1"/>
    <col min="7187" max="7424" width="9.140625" style="3"/>
    <col min="7425" max="7425" width="56" style="3" customWidth="1"/>
    <col min="7426" max="7426" width="12.7109375" style="3" customWidth="1"/>
    <col min="7427" max="7442" width="15.7109375" style="3" customWidth="1"/>
    <col min="7443" max="7680" width="9.140625" style="3"/>
    <col min="7681" max="7681" width="56" style="3" customWidth="1"/>
    <col min="7682" max="7682" width="12.7109375" style="3" customWidth="1"/>
    <col min="7683" max="7698" width="15.7109375" style="3" customWidth="1"/>
    <col min="7699" max="7936" width="9.140625" style="3"/>
    <col min="7937" max="7937" width="56" style="3" customWidth="1"/>
    <col min="7938" max="7938" width="12.7109375" style="3" customWidth="1"/>
    <col min="7939" max="7954" width="15.7109375" style="3" customWidth="1"/>
    <col min="7955" max="8192" width="9.140625" style="3"/>
    <col min="8193" max="8193" width="56" style="3" customWidth="1"/>
    <col min="8194" max="8194" width="12.7109375" style="3" customWidth="1"/>
    <col min="8195" max="8210" width="15.7109375" style="3" customWidth="1"/>
    <col min="8211" max="8448" width="9.140625" style="3"/>
    <col min="8449" max="8449" width="56" style="3" customWidth="1"/>
    <col min="8450" max="8450" width="12.7109375" style="3" customWidth="1"/>
    <col min="8451" max="8466" width="15.7109375" style="3" customWidth="1"/>
    <col min="8467" max="8704" width="9.140625" style="3"/>
    <col min="8705" max="8705" width="56" style="3" customWidth="1"/>
    <col min="8706" max="8706" width="12.7109375" style="3" customWidth="1"/>
    <col min="8707" max="8722" width="15.7109375" style="3" customWidth="1"/>
    <col min="8723" max="8960" width="9.140625" style="3"/>
    <col min="8961" max="8961" width="56" style="3" customWidth="1"/>
    <col min="8962" max="8962" width="12.7109375" style="3" customWidth="1"/>
    <col min="8963" max="8978" width="15.7109375" style="3" customWidth="1"/>
    <col min="8979" max="9216" width="9.140625" style="3"/>
    <col min="9217" max="9217" width="56" style="3" customWidth="1"/>
    <col min="9218" max="9218" width="12.7109375" style="3" customWidth="1"/>
    <col min="9219" max="9234" width="15.7109375" style="3" customWidth="1"/>
    <col min="9235" max="9472" width="9.140625" style="3"/>
    <col min="9473" max="9473" width="56" style="3" customWidth="1"/>
    <col min="9474" max="9474" width="12.7109375" style="3" customWidth="1"/>
    <col min="9475" max="9490" width="15.7109375" style="3" customWidth="1"/>
    <col min="9491" max="9728" width="9.140625" style="3"/>
    <col min="9729" max="9729" width="56" style="3" customWidth="1"/>
    <col min="9730" max="9730" width="12.7109375" style="3" customWidth="1"/>
    <col min="9731" max="9746" width="15.7109375" style="3" customWidth="1"/>
    <col min="9747" max="9984" width="9.140625" style="3"/>
    <col min="9985" max="9985" width="56" style="3" customWidth="1"/>
    <col min="9986" max="9986" width="12.7109375" style="3" customWidth="1"/>
    <col min="9987" max="10002" width="15.7109375" style="3" customWidth="1"/>
    <col min="10003" max="10240" width="9.140625" style="3"/>
    <col min="10241" max="10241" width="56" style="3" customWidth="1"/>
    <col min="10242" max="10242" width="12.7109375" style="3" customWidth="1"/>
    <col min="10243" max="10258" width="15.7109375" style="3" customWidth="1"/>
    <col min="10259" max="10496" width="9.140625" style="3"/>
    <col min="10497" max="10497" width="56" style="3" customWidth="1"/>
    <col min="10498" max="10498" width="12.7109375" style="3" customWidth="1"/>
    <col min="10499" max="10514" width="15.7109375" style="3" customWidth="1"/>
    <col min="10515" max="10752" width="9.140625" style="3"/>
    <col min="10753" max="10753" width="56" style="3" customWidth="1"/>
    <col min="10754" max="10754" width="12.7109375" style="3" customWidth="1"/>
    <col min="10755" max="10770" width="15.7109375" style="3" customWidth="1"/>
    <col min="10771" max="11008" width="9.140625" style="3"/>
    <col min="11009" max="11009" width="56" style="3" customWidth="1"/>
    <col min="11010" max="11010" width="12.7109375" style="3" customWidth="1"/>
    <col min="11011" max="11026" width="15.7109375" style="3" customWidth="1"/>
    <col min="11027" max="11264" width="9.140625" style="3"/>
    <col min="11265" max="11265" width="56" style="3" customWidth="1"/>
    <col min="11266" max="11266" width="12.7109375" style="3" customWidth="1"/>
    <col min="11267" max="11282" width="15.7109375" style="3" customWidth="1"/>
    <col min="11283" max="11520" width="9.140625" style="3"/>
    <col min="11521" max="11521" width="56" style="3" customWidth="1"/>
    <col min="11522" max="11522" width="12.7109375" style="3" customWidth="1"/>
    <col min="11523" max="11538" width="15.7109375" style="3" customWidth="1"/>
    <col min="11539" max="11776" width="9.140625" style="3"/>
    <col min="11777" max="11777" width="56" style="3" customWidth="1"/>
    <col min="11778" max="11778" width="12.7109375" style="3" customWidth="1"/>
    <col min="11779" max="11794" width="15.7109375" style="3" customWidth="1"/>
    <col min="11795" max="12032" width="9.140625" style="3"/>
    <col min="12033" max="12033" width="56" style="3" customWidth="1"/>
    <col min="12034" max="12034" width="12.7109375" style="3" customWidth="1"/>
    <col min="12035" max="12050" width="15.7109375" style="3" customWidth="1"/>
    <col min="12051" max="12288" width="9.140625" style="3"/>
    <col min="12289" max="12289" width="56" style="3" customWidth="1"/>
    <col min="12290" max="12290" width="12.7109375" style="3" customWidth="1"/>
    <col min="12291" max="12306" width="15.7109375" style="3" customWidth="1"/>
    <col min="12307" max="12544" width="9.140625" style="3"/>
    <col min="12545" max="12545" width="56" style="3" customWidth="1"/>
    <col min="12546" max="12546" width="12.7109375" style="3" customWidth="1"/>
    <col min="12547" max="12562" width="15.7109375" style="3" customWidth="1"/>
    <col min="12563" max="12800" width="9.140625" style="3"/>
    <col min="12801" max="12801" width="56" style="3" customWidth="1"/>
    <col min="12802" max="12802" width="12.7109375" style="3" customWidth="1"/>
    <col min="12803" max="12818" width="15.7109375" style="3" customWidth="1"/>
    <col min="12819" max="13056" width="9.140625" style="3"/>
    <col min="13057" max="13057" width="56" style="3" customWidth="1"/>
    <col min="13058" max="13058" width="12.7109375" style="3" customWidth="1"/>
    <col min="13059" max="13074" width="15.7109375" style="3" customWidth="1"/>
    <col min="13075" max="13312" width="9.140625" style="3"/>
    <col min="13313" max="13313" width="56" style="3" customWidth="1"/>
    <col min="13314" max="13314" width="12.7109375" style="3" customWidth="1"/>
    <col min="13315" max="13330" width="15.7109375" style="3" customWidth="1"/>
    <col min="13331" max="13568" width="9.140625" style="3"/>
    <col min="13569" max="13569" width="56" style="3" customWidth="1"/>
    <col min="13570" max="13570" width="12.7109375" style="3" customWidth="1"/>
    <col min="13571" max="13586" width="15.7109375" style="3" customWidth="1"/>
    <col min="13587" max="13824" width="9.140625" style="3"/>
    <col min="13825" max="13825" width="56" style="3" customWidth="1"/>
    <col min="13826" max="13826" width="12.7109375" style="3" customWidth="1"/>
    <col min="13827" max="13842" width="15.7109375" style="3" customWidth="1"/>
    <col min="13843" max="14080" width="9.140625" style="3"/>
    <col min="14081" max="14081" width="56" style="3" customWidth="1"/>
    <col min="14082" max="14082" width="12.7109375" style="3" customWidth="1"/>
    <col min="14083" max="14098" width="15.7109375" style="3" customWidth="1"/>
    <col min="14099" max="14336" width="9.140625" style="3"/>
    <col min="14337" max="14337" width="56" style="3" customWidth="1"/>
    <col min="14338" max="14338" width="12.7109375" style="3" customWidth="1"/>
    <col min="14339" max="14354" width="15.7109375" style="3" customWidth="1"/>
    <col min="14355" max="14592" width="9.140625" style="3"/>
    <col min="14593" max="14593" width="56" style="3" customWidth="1"/>
    <col min="14594" max="14594" width="12.7109375" style="3" customWidth="1"/>
    <col min="14595" max="14610" width="15.7109375" style="3" customWidth="1"/>
    <col min="14611" max="14848" width="9.140625" style="3"/>
    <col min="14849" max="14849" width="56" style="3" customWidth="1"/>
    <col min="14850" max="14850" width="12.7109375" style="3" customWidth="1"/>
    <col min="14851" max="14866" width="15.7109375" style="3" customWidth="1"/>
    <col min="14867" max="15104" width="9.140625" style="3"/>
    <col min="15105" max="15105" width="56" style="3" customWidth="1"/>
    <col min="15106" max="15106" width="12.7109375" style="3" customWidth="1"/>
    <col min="15107" max="15122" width="15.7109375" style="3" customWidth="1"/>
    <col min="15123" max="15360" width="9.140625" style="3"/>
    <col min="15361" max="15361" width="56" style="3" customWidth="1"/>
    <col min="15362" max="15362" width="12.7109375" style="3" customWidth="1"/>
    <col min="15363" max="15378" width="15.7109375" style="3" customWidth="1"/>
    <col min="15379" max="15616" width="9.140625" style="3"/>
    <col min="15617" max="15617" width="56" style="3" customWidth="1"/>
    <col min="15618" max="15618" width="12.7109375" style="3" customWidth="1"/>
    <col min="15619" max="15634" width="15.7109375" style="3" customWidth="1"/>
    <col min="15635" max="15872" width="9.140625" style="3"/>
    <col min="15873" max="15873" width="56" style="3" customWidth="1"/>
    <col min="15874" max="15874" width="12.7109375" style="3" customWidth="1"/>
    <col min="15875" max="15890" width="15.7109375" style="3" customWidth="1"/>
    <col min="15891" max="16128" width="9.140625" style="3"/>
    <col min="16129" max="16129" width="56" style="3" customWidth="1"/>
    <col min="16130" max="16130" width="12.7109375" style="3" customWidth="1"/>
    <col min="16131" max="16146" width="15.7109375" style="3" customWidth="1"/>
    <col min="16147" max="16384" width="9.140625" style="3"/>
  </cols>
  <sheetData>
    <row r="1" spans="1:19" ht="33.75" x14ac:dyDescent="0.5">
      <c r="A1" s="66" t="s">
        <v>125</v>
      </c>
      <c r="B1" s="6"/>
      <c r="C1" s="6"/>
      <c r="D1" s="6"/>
      <c r="E1" s="6"/>
      <c r="F1" s="6"/>
      <c r="G1" s="6"/>
      <c r="H1" s="6"/>
      <c r="I1" s="6"/>
      <c r="J1" s="6"/>
      <c r="K1" s="6"/>
      <c r="L1" s="6"/>
      <c r="M1" s="6"/>
      <c r="N1" s="6"/>
      <c r="O1" s="6"/>
      <c r="P1" s="6"/>
      <c r="Q1" s="6"/>
      <c r="R1" s="6"/>
      <c r="S1" s="6"/>
    </row>
    <row r="2" spans="1:19" ht="15.75" x14ac:dyDescent="0.25">
      <c r="A2" s="21" t="s">
        <v>126</v>
      </c>
      <c r="B2" s="6"/>
      <c r="C2" s="6"/>
      <c r="D2" s="6"/>
      <c r="E2" s="6"/>
      <c r="F2" s="6"/>
      <c r="G2" s="6"/>
      <c r="H2" s="6"/>
      <c r="I2" s="6"/>
      <c r="J2" s="6"/>
      <c r="K2" s="6"/>
      <c r="L2" s="6"/>
      <c r="M2" s="6"/>
      <c r="N2" s="6"/>
      <c r="O2" s="6"/>
      <c r="P2" s="6"/>
      <c r="Q2" s="6"/>
      <c r="R2" s="6"/>
      <c r="S2" s="6"/>
    </row>
    <row r="3" spans="1:19" ht="32.25" customHeight="1" x14ac:dyDescent="0.25">
      <c r="A3" s="613" t="s">
        <v>127</v>
      </c>
      <c r="B3" s="614"/>
      <c r="C3" s="614"/>
      <c r="D3" s="614"/>
      <c r="E3" s="614"/>
      <c r="F3" s="614"/>
      <c r="G3" s="614"/>
      <c r="H3" s="614"/>
      <c r="I3" s="614"/>
      <c r="J3" s="614"/>
      <c r="K3" s="614"/>
      <c r="L3" s="6"/>
      <c r="M3" s="6"/>
      <c r="N3" s="6"/>
      <c r="O3" s="6"/>
      <c r="P3" s="6"/>
      <c r="Q3" s="6"/>
      <c r="R3" s="6"/>
      <c r="S3" s="6"/>
    </row>
    <row r="4" spans="1:19" ht="18" x14ac:dyDescent="0.25">
      <c r="A4" s="13"/>
      <c r="B4" s="6"/>
      <c r="C4" s="6"/>
      <c r="D4" s="6"/>
      <c r="E4" s="6"/>
      <c r="F4" s="6"/>
      <c r="G4" s="6"/>
      <c r="H4" s="6"/>
      <c r="I4" s="6"/>
      <c r="J4" s="6"/>
      <c r="K4" s="6"/>
      <c r="L4" s="6"/>
      <c r="M4" s="6"/>
      <c r="N4" s="6"/>
      <c r="O4" s="6"/>
      <c r="P4" s="6"/>
      <c r="Q4" s="6"/>
      <c r="R4" s="6"/>
      <c r="S4" s="6"/>
    </row>
    <row r="5" spans="1:19" ht="15.75" x14ac:dyDescent="0.25">
      <c r="A5" s="21" t="s">
        <v>44</v>
      </c>
      <c r="B5" s="6"/>
      <c r="C5" s="15">
        <v>0</v>
      </c>
      <c r="D5" s="15">
        <v>1</v>
      </c>
      <c r="E5" s="15">
        <v>2</v>
      </c>
      <c r="F5" s="15">
        <v>3</v>
      </c>
      <c r="G5" s="15">
        <v>4</v>
      </c>
      <c r="H5" s="15">
        <v>5</v>
      </c>
      <c r="I5" s="15">
        <v>6</v>
      </c>
      <c r="J5" s="15">
        <v>7</v>
      </c>
      <c r="K5" s="15">
        <v>8</v>
      </c>
      <c r="L5" s="15">
        <v>9</v>
      </c>
      <c r="M5" s="15">
        <v>10</v>
      </c>
      <c r="N5" s="15">
        <v>11</v>
      </c>
      <c r="O5" s="15">
        <v>12</v>
      </c>
      <c r="P5" s="15">
        <v>13</v>
      </c>
      <c r="Q5" s="15">
        <v>14</v>
      </c>
      <c r="R5" s="15">
        <v>15</v>
      </c>
      <c r="S5" s="6"/>
    </row>
    <row r="6" spans="1:19" x14ac:dyDescent="0.25">
      <c r="A6" s="15"/>
      <c r="B6" s="6"/>
      <c r="C6" s="15"/>
      <c r="D6" s="15"/>
      <c r="E6" s="15"/>
      <c r="F6" s="15"/>
      <c r="G6" s="15"/>
      <c r="H6" s="15"/>
      <c r="I6" s="15"/>
      <c r="J6" s="15"/>
      <c r="K6" s="15"/>
      <c r="L6" s="15"/>
      <c r="M6" s="15"/>
      <c r="N6" s="15"/>
      <c r="O6" s="15"/>
      <c r="P6" s="15"/>
      <c r="Q6" s="15"/>
      <c r="R6" s="15"/>
      <c r="S6" s="6"/>
    </row>
    <row r="7" spans="1:19" ht="15.75" x14ac:dyDescent="0.25">
      <c r="A7" s="21" t="s">
        <v>128</v>
      </c>
      <c r="B7" s="6"/>
      <c r="C7" s="6"/>
      <c r="D7" s="6"/>
      <c r="E7" s="6"/>
      <c r="F7" s="6"/>
      <c r="G7" s="6"/>
      <c r="H7" s="6"/>
      <c r="I7" s="6"/>
      <c r="J7" s="6"/>
      <c r="K7" s="6"/>
      <c r="L7" s="6"/>
      <c r="M7" s="6"/>
      <c r="N7" s="6"/>
      <c r="O7" s="6"/>
      <c r="P7" s="6"/>
      <c r="Q7" s="6"/>
      <c r="R7" s="6"/>
      <c r="S7" s="6"/>
    </row>
    <row r="8" spans="1:19" x14ac:dyDescent="0.25">
      <c r="A8" s="6" t="s">
        <v>129</v>
      </c>
      <c r="B8" s="6"/>
      <c r="C8" s="23">
        <f>Exploitatieberekening!N119</f>
        <v>0</v>
      </c>
      <c r="D8" s="23" t="e">
        <f>Exploitatieberekening!O119</f>
        <v>#DIV/0!</v>
      </c>
      <c r="E8" s="23" t="e">
        <f>Exploitatieberekening!P119</f>
        <v>#DIV/0!</v>
      </c>
      <c r="F8" s="23" t="e">
        <f>Exploitatieberekening!Q119</f>
        <v>#DIV/0!</v>
      </c>
      <c r="G8" s="23" t="e">
        <f>Exploitatieberekening!R119</f>
        <v>#DIV/0!</v>
      </c>
      <c r="H8" s="23" t="e">
        <f>Exploitatieberekening!S119</f>
        <v>#DIV/0!</v>
      </c>
      <c r="I8" s="23" t="e">
        <f>Exploitatieberekening!T119</f>
        <v>#DIV/0!</v>
      </c>
      <c r="J8" s="23" t="e">
        <f>Exploitatieberekening!U119</f>
        <v>#DIV/0!</v>
      </c>
      <c r="K8" s="23" t="e">
        <f>Exploitatieberekening!V119</f>
        <v>#DIV/0!</v>
      </c>
      <c r="L8" s="23" t="e">
        <f>Exploitatieberekening!W119</f>
        <v>#DIV/0!</v>
      </c>
      <c r="M8" s="23" t="e">
        <f>Exploitatieberekening!X119</f>
        <v>#DIV/0!</v>
      </c>
      <c r="N8" s="23" t="e">
        <f>Exploitatieberekening!Y119</f>
        <v>#DIV/0!</v>
      </c>
      <c r="O8" s="23" t="e">
        <f>Exploitatieberekening!Z119</f>
        <v>#DIV/0!</v>
      </c>
      <c r="P8" s="23" t="e">
        <f>Exploitatieberekening!AA119</f>
        <v>#DIV/0!</v>
      </c>
      <c r="Q8" s="23" t="e">
        <f>Exploitatieberekening!AB119</f>
        <v>#DIV/0!</v>
      </c>
      <c r="R8" s="23" t="e">
        <f>Exploitatieberekening!AC119</f>
        <v>#DIV/0!</v>
      </c>
      <c r="S8" s="6"/>
    </row>
    <row r="9" spans="1:19" x14ac:dyDescent="0.25">
      <c r="A9" s="6" t="s">
        <v>130</v>
      </c>
      <c r="B9" s="67">
        <f>IF(Exploitatieberekening!B10=8,IRR(C8:K8,0%),IF(Exploitatieberekening!B10=12,IRR(C8:O8,0%),IF(Exploitatieberekening!B10=15,IRR(C8:R8,0%),)))</f>
        <v>0</v>
      </c>
      <c r="C9" s="6"/>
      <c r="D9" s="6"/>
      <c r="E9" s="6"/>
      <c r="F9" s="6"/>
      <c r="G9" s="6"/>
      <c r="H9" s="6"/>
      <c r="I9" s="6"/>
      <c r="J9" s="6"/>
      <c r="K9" s="6"/>
      <c r="L9" s="6"/>
      <c r="M9" s="6"/>
      <c r="N9" s="6"/>
      <c r="O9" s="6"/>
      <c r="P9" s="6"/>
      <c r="Q9" s="6"/>
      <c r="R9" s="6"/>
      <c r="S9" s="6"/>
    </row>
    <row r="10" spans="1:19" x14ac:dyDescent="0.25">
      <c r="A10" s="6" t="s">
        <v>131</v>
      </c>
      <c r="B10" s="15"/>
      <c r="C10" s="23">
        <f>Exploitatieberekening!N119</f>
        <v>0</v>
      </c>
      <c r="D10" s="23">
        <f>IF(Exploitatieberekening!$B$10=8,SUM($D$8:$K$8)/8,IF(Exploitatieberekening!$B$10=12,SUM($D$8:$O$8)/12,IF(Exploitatieberekening!$B$10=15,SUM($D$8:$R$8)/15,0)))</f>
        <v>0</v>
      </c>
      <c r="E10" s="23">
        <f>IF(Exploitatieberekening!$B$10=8,SUM($D$8:$K$8)/8,IF(Exploitatieberekening!$B$10=12,SUM($D$8:$O$8)/12,IF(Exploitatieberekening!$B$10=15,SUM($D$8:$R$8)/15,0)))</f>
        <v>0</v>
      </c>
      <c r="F10" s="23">
        <f>IF(Exploitatieberekening!$B$10=8,SUM($D$8:$K$8)/8,IF(Exploitatieberekening!$B$10=12,SUM($D$8:$O$8)/12,IF(Exploitatieberekening!$B$10=15,SUM($D$8:$R$8)/15,0)))</f>
        <v>0</v>
      </c>
      <c r="G10" s="23">
        <f>IF(Exploitatieberekening!$B$10=8,SUM($D$8:$K$8)/8,IF(Exploitatieberekening!$B$10=12,SUM($D$8:$O$8)/12,IF(Exploitatieberekening!$B$10=15,SUM($D$8:$R$8)/15,0)))</f>
        <v>0</v>
      </c>
      <c r="H10" s="23">
        <f>IF(Exploitatieberekening!$B$10=8,SUM($D$8:$K$8)/8,IF(Exploitatieberekening!$B$10=12,SUM($D$8:$O$8)/12,IF(Exploitatieberekening!$B$10=15,SUM($D$8:$R$8)/15,0)))</f>
        <v>0</v>
      </c>
      <c r="I10" s="23">
        <f>IF(Exploitatieberekening!$B$10=8,SUM($D$8:$K$8)/8,IF(Exploitatieberekening!$B$10=12,SUM($D$8:$O$8)/12,IF(Exploitatieberekening!$B$10=15,SUM($D$8:$R$8)/15,0)))</f>
        <v>0</v>
      </c>
      <c r="J10" s="23">
        <f>IF(Exploitatieberekening!$B$10=8,SUM($D$8:$K$8)/8,IF(Exploitatieberekening!$B$10=12,SUM($D$8:$O$8)/12,IF(Exploitatieberekening!$B$10=15,SUM($D$8:$R$8)/15,0)))</f>
        <v>0</v>
      </c>
      <c r="K10" s="23">
        <f>IF(Exploitatieberekening!$B$10=8,SUM($D$8:$K$8)/8,IF(Exploitatieberekening!$B$10=12,SUM($D$8:$O$8)/12,IF(Exploitatieberekening!$B$10=15,SUM($D$8:$R$8)/15,0)))</f>
        <v>0</v>
      </c>
      <c r="L10" s="23">
        <f>IF(Exploitatieberekening!$B$10=8,SUM($D$8:$K$8)/8,IF(Exploitatieberekening!$B$10=12,SUM($D$8:$O$8)/12,IF(Exploitatieberekening!$B$10=15,SUM($D$8:$R$8)/15,0)))</f>
        <v>0</v>
      </c>
      <c r="M10" s="23">
        <f>IF(Exploitatieberekening!$B$10=8,SUM($D$8:$K$8)/8,IF(Exploitatieberekening!$B$10=12,SUM($D$8:$O$8)/12,IF(Exploitatieberekening!$B$10=15,SUM($D$8:$R$8)/15,0)))</f>
        <v>0</v>
      </c>
      <c r="N10" s="23">
        <f>IF(Exploitatieberekening!$B$10=8,SUM($D$8:$K$8)/8,IF(Exploitatieberekening!$B$10=12,SUM($D$8:$O$8)/12,IF(Exploitatieberekening!$B$10=15,SUM($D$8:$R$8)/15,0)))</f>
        <v>0</v>
      </c>
      <c r="O10" s="23">
        <f>IF(Exploitatieberekening!$B$10=8,SUM($D$8:$K$8)/8,IF(Exploitatieberekening!$B$10=12,SUM($D$8:$O$8)/12,IF(Exploitatieberekening!$B$10=15,SUM($D$8:$R$8)/15,0)))</f>
        <v>0</v>
      </c>
      <c r="P10" s="23">
        <f>IF(Exploitatieberekening!$B$10=8,SUM($D$8:$K$8)/8,IF(Exploitatieberekening!$B$10=12,SUM($D$8:$O$8)/12,IF(Exploitatieberekening!$B$10=15,SUM($D$8:$R$8)/15,0)))</f>
        <v>0</v>
      </c>
      <c r="Q10" s="23">
        <f>IF(Exploitatieberekening!$B$10=8,SUM($D$8:$K$8)/8,IF(Exploitatieberekening!$B$10=12,SUM($D$8:$O$8)/12,IF(Exploitatieberekening!$B$10=15,SUM($D$8:$R$8)/15,0)))</f>
        <v>0</v>
      </c>
      <c r="R10" s="23">
        <f>IF(Exploitatieberekening!$B$10=8,SUM($D$8:$K$8)/8,IF(Exploitatieberekening!$B$10=12,SUM($D$8:$O$8)/12,IF(Exploitatieberekening!$B$10=15,SUM($D$8:$R$8)/15,0)))</f>
        <v>0</v>
      </c>
      <c r="S10" s="6"/>
    </row>
    <row r="11" spans="1:19" x14ac:dyDescent="0.25">
      <c r="A11" s="6" t="s">
        <v>132</v>
      </c>
      <c r="B11" s="67">
        <f>IF(Exploitatieberekening!B10=8,IRR(C10:K10,0%),IF(Exploitatieberekening!B10=12,IRR(C10:O10,0%),IF(Exploitatieberekening!B10=15,IRR(C10:R10,0%),)))</f>
        <v>0</v>
      </c>
      <c r="C11" s="6"/>
      <c r="D11" s="6"/>
      <c r="E11" s="6"/>
      <c r="F11" s="6"/>
      <c r="G11" s="6"/>
      <c r="H11" s="6"/>
      <c r="I11" s="6"/>
      <c r="J11" s="6"/>
      <c r="K11" s="6"/>
      <c r="L11" s="6"/>
      <c r="M11" s="6"/>
      <c r="N11" s="6"/>
      <c r="O11" s="6"/>
      <c r="P11" s="6"/>
      <c r="Q11" s="6"/>
      <c r="R11" s="6"/>
      <c r="S11" s="6"/>
    </row>
    <row r="12" spans="1:19" x14ac:dyDescent="0.25">
      <c r="A12" s="15"/>
      <c r="B12" s="67"/>
      <c r="C12" s="6"/>
      <c r="D12" s="6"/>
      <c r="E12" s="6"/>
      <c r="F12" s="6"/>
      <c r="G12" s="6"/>
      <c r="H12" s="6"/>
      <c r="I12" s="6"/>
      <c r="J12" s="6"/>
      <c r="K12" s="6"/>
      <c r="L12" s="6"/>
      <c r="M12" s="6"/>
      <c r="N12" s="6"/>
      <c r="O12" s="6"/>
      <c r="P12" s="6"/>
      <c r="Q12" s="6"/>
      <c r="R12" s="6"/>
      <c r="S12" s="6"/>
    </row>
    <row r="13" spans="1:19" ht="15.75" x14ac:dyDescent="0.25">
      <c r="A13" s="21" t="s">
        <v>133</v>
      </c>
      <c r="B13" s="67"/>
      <c r="C13" s="6"/>
      <c r="D13" s="6"/>
      <c r="E13" s="6"/>
      <c r="F13" s="6"/>
      <c r="G13" s="6"/>
      <c r="H13" s="6"/>
      <c r="I13" s="6"/>
      <c r="J13" s="6"/>
      <c r="K13" s="6"/>
      <c r="L13" s="6"/>
      <c r="M13" s="6"/>
      <c r="N13" s="6"/>
      <c r="O13" s="6"/>
      <c r="P13" s="6"/>
      <c r="Q13" s="6"/>
      <c r="R13" s="6"/>
      <c r="S13" s="6"/>
    </row>
    <row r="14" spans="1:19" x14ac:dyDescent="0.25">
      <c r="A14" s="6" t="s">
        <v>134</v>
      </c>
      <c r="B14" s="6"/>
      <c r="C14" s="23" t="e">
        <f>Exploitatieberekening!N124</f>
        <v>#DIV/0!</v>
      </c>
      <c r="D14" s="23" t="e">
        <f>Exploitatieberekening!O124</f>
        <v>#DIV/0!</v>
      </c>
      <c r="E14" s="23" t="e">
        <f>Exploitatieberekening!P124</f>
        <v>#DIV/0!</v>
      </c>
      <c r="F14" s="23" t="e">
        <f>Exploitatieberekening!Q124</f>
        <v>#DIV/0!</v>
      </c>
      <c r="G14" s="23" t="e">
        <f>Exploitatieberekening!R124</f>
        <v>#DIV/0!</v>
      </c>
      <c r="H14" s="23" t="e">
        <f>Exploitatieberekening!S124</f>
        <v>#DIV/0!</v>
      </c>
      <c r="I14" s="23" t="e">
        <f>Exploitatieberekening!T124</f>
        <v>#DIV/0!</v>
      </c>
      <c r="J14" s="23" t="e">
        <f>Exploitatieberekening!U124</f>
        <v>#DIV/0!</v>
      </c>
      <c r="K14" s="23" t="e">
        <f>Exploitatieberekening!V124</f>
        <v>#DIV/0!</v>
      </c>
      <c r="L14" s="23" t="e">
        <f>Exploitatieberekening!W124</f>
        <v>#DIV/0!</v>
      </c>
      <c r="M14" s="23" t="e">
        <f>Exploitatieberekening!X124</f>
        <v>#DIV/0!</v>
      </c>
      <c r="N14" s="23" t="e">
        <f>Exploitatieberekening!Y124</f>
        <v>#DIV/0!</v>
      </c>
      <c r="O14" s="23" t="e">
        <f>Exploitatieberekening!Z124</f>
        <v>#DIV/0!</v>
      </c>
      <c r="P14" s="23" t="e">
        <f>Exploitatieberekening!AA124</f>
        <v>#DIV/0!</v>
      </c>
      <c r="Q14" s="23" t="e">
        <f>Exploitatieberekening!AB124</f>
        <v>#DIV/0!</v>
      </c>
      <c r="R14" s="23" t="e">
        <f>Exploitatieberekening!AC124</f>
        <v>#DIV/0!</v>
      </c>
      <c r="S14" s="6"/>
    </row>
    <row r="15" spans="1:19" x14ac:dyDescent="0.25">
      <c r="A15" s="6" t="s">
        <v>130</v>
      </c>
      <c r="B15" s="67">
        <f>IF(Exploitatieberekening!B10=8,IRR(C14:K14,0%),IF(Exploitatieberekening!B10=12,IRR(C14:O14,0%),IF(Exploitatieberekening!B10=15,IRR(C14:R14,0%),)))</f>
        <v>0</v>
      </c>
      <c r="C15" s="6"/>
      <c r="D15" s="6"/>
      <c r="E15" s="6"/>
      <c r="F15" s="6"/>
      <c r="G15" s="6"/>
      <c r="H15" s="6"/>
      <c r="I15" s="6"/>
      <c r="J15" s="6"/>
      <c r="K15" s="6"/>
      <c r="L15" s="6"/>
      <c r="M15" s="6"/>
      <c r="N15" s="6"/>
      <c r="O15" s="6"/>
      <c r="P15" s="6"/>
      <c r="Q15" s="6"/>
      <c r="R15" s="6"/>
      <c r="S15" s="6"/>
    </row>
    <row r="16" spans="1:19" x14ac:dyDescent="0.25">
      <c r="A16" s="6" t="s">
        <v>135</v>
      </c>
      <c r="B16" s="6"/>
      <c r="C16" s="23" t="e">
        <f>Exploitatieberekening!N124</f>
        <v>#DIV/0!</v>
      </c>
      <c r="D16" s="23">
        <f>IF(Exploitatieberekening!$B$10=8,SUM($D$14:$K$14)/8,IF(Exploitatieberekening!$B$10=12,SUM($D$14:$O$14)/12,IF(Exploitatieberekening!$B$10=15,SUM($D$14:$R$14)/15,0)))</f>
        <v>0</v>
      </c>
      <c r="E16" s="23">
        <f>IF(Exploitatieberekening!$B$10=8,SUM($D$14:$K$14)/8,IF(Exploitatieberekening!$B$10=12,SUM($D$14:$O$14)/12,IF(Exploitatieberekening!$B$10=15,SUM($D$14:$R$14)/15,0)))</f>
        <v>0</v>
      </c>
      <c r="F16" s="23">
        <f>IF(Exploitatieberekening!$B$10=8,SUM($D$14:$K$14)/8,IF(Exploitatieberekening!$B$10=12,SUM($D$14:$O$14)/12,IF(Exploitatieberekening!$B$10=15,SUM($D$14:$R$14)/15,0)))</f>
        <v>0</v>
      </c>
      <c r="G16" s="23">
        <f>IF(Exploitatieberekening!$B$10=8,SUM($D$14:$K$14)/8,IF(Exploitatieberekening!$B$10=12,SUM($D$14:$O$14)/12,IF(Exploitatieberekening!$B$10=15,SUM($D$14:$R$14)/15,0)))</f>
        <v>0</v>
      </c>
      <c r="H16" s="23">
        <f>IF(Exploitatieberekening!$B$10=8,SUM($D$14:$K$14)/8,IF(Exploitatieberekening!$B$10=12,SUM($D$14:$O$14)/12,IF(Exploitatieberekening!$B$10=15,SUM($D$14:$R$14)/15,0)))</f>
        <v>0</v>
      </c>
      <c r="I16" s="23">
        <f>IF(Exploitatieberekening!$B$10=8,SUM($D$14:$K$14)/8,IF(Exploitatieberekening!$B$10=12,SUM($D$14:$O$14)/12,IF(Exploitatieberekening!$B$10=15,SUM($D$14:$R$14)/15,0)))</f>
        <v>0</v>
      </c>
      <c r="J16" s="23">
        <f>IF(Exploitatieberekening!$B$10=8,SUM($D$14:$K$14)/8,IF(Exploitatieberekening!$B$10=12,SUM($D$14:$O$14)/12,IF(Exploitatieberekening!$B$10=15,SUM($D$14:$R$14)/15,0)))</f>
        <v>0</v>
      </c>
      <c r="K16" s="23">
        <f>IF(Exploitatieberekening!$B$10=8,SUM($D$14:$K$14)/8,IF(Exploitatieberekening!$B$10=12,SUM($D$14:$O$14)/12,IF(Exploitatieberekening!$B$10=15,SUM($D$14:$R$14)/15,0)))</f>
        <v>0</v>
      </c>
      <c r="L16" s="23">
        <f>IF(Exploitatieberekening!$B$10=8,SUM($D$14:$K$14)/8,IF(Exploitatieberekening!$B$10=12,SUM($D$14:$O$14)/12,IF(Exploitatieberekening!$B$10=15,SUM($D$14:$R$14)/15,0)))</f>
        <v>0</v>
      </c>
      <c r="M16" s="23">
        <f>IF(Exploitatieberekening!$B$10=8,SUM($D$14:$K$14)/8,IF(Exploitatieberekening!$B$10=12,SUM($D$14:$O$14)/12,IF(Exploitatieberekening!$B$10=15,SUM($D$14:$R$14)/15,0)))</f>
        <v>0</v>
      </c>
      <c r="N16" s="23">
        <f>IF(Exploitatieberekening!$B$10=8,SUM($D$14:$K$14)/8,IF(Exploitatieberekening!$B$10=12,SUM($D$14:$O$14)/12,IF(Exploitatieberekening!$B$10=15,SUM($D$14:$R$14)/15,0)))</f>
        <v>0</v>
      </c>
      <c r="O16" s="23">
        <f>IF(Exploitatieberekening!$B$10=8,SUM($D$14:$K$14)/8,IF(Exploitatieberekening!$B$10=12,SUM($D$14:$O$14)/12,IF(Exploitatieberekening!$B$10=15,SUM($D$14:$R$14)/15,0)))</f>
        <v>0</v>
      </c>
      <c r="P16" s="23">
        <f>IF(Exploitatieberekening!$B$10=8,SUM($D$14:$K$14)/8,IF(Exploitatieberekening!$B$10=12,SUM($D$14:$O$14)/12,IF(Exploitatieberekening!$B$10=15,SUM($D$14:$R$14)/15,0)))</f>
        <v>0</v>
      </c>
      <c r="Q16" s="23">
        <f>IF(Exploitatieberekening!$B$10=8,SUM($D$14:$K$14)/8,IF(Exploitatieberekening!$B$10=12,SUM($D$14:$O$14)/12,IF(Exploitatieberekening!$B$10=15,SUM($D$14:$R$14)/15,0)))</f>
        <v>0</v>
      </c>
      <c r="R16" s="23">
        <f>IF(Exploitatieberekening!$B$10=8,SUM($D$14:$K$14)/8,IF(Exploitatieberekening!$B$10=12,SUM($D$14:$O$14)/12,IF(Exploitatieberekening!$B$10=15,SUM($D$14:$R$14)/15,0)))</f>
        <v>0</v>
      </c>
      <c r="S16" s="6"/>
    </row>
    <row r="17" spans="1:19" x14ac:dyDescent="0.25">
      <c r="A17" s="6" t="s">
        <v>136</v>
      </c>
      <c r="B17" s="67">
        <f>IF(Exploitatieberekening!B10=8,IRR(C16:K16,0%),IF(Exploitatieberekening!B10=12,IRR(C16:O16,0%),IF(Exploitatieberekening!B10=15,IRR(C16:R16,0%),)))</f>
        <v>0</v>
      </c>
      <c r="C17" s="6"/>
      <c r="D17" s="6"/>
      <c r="E17" s="6"/>
      <c r="F17" s="6"/>
      <c r="G17" s="6"/>
      <c r="H17" s="6"/>
      <c r="I17" s="6"/>
      <c r="J17" s="6"/>
      <c r="K17" s="6"/>
      <c r="L17" s="6"/>
      <c r="M17" s="6"/>
      <c r="N17" s="6"/>
      <c r="O17" s="6"/>
      <c r="P17" s="6"/>
      <c r="Q17" s="6"/>
      <c r="R17" s="6"/>
      <c r="S17" s="6"/>
    </row>
    <row r="18" spans="1:19" x14ac:dyDescent="0.25">
      <c r="A18" s="6"/>
      <c r="B18" s="15"/>
      <c r="C18" s="6"/>
      <c r="D18" s="6"/>
      <c r="E18" s="6"/>
      <c r="F18" s="6"/>
      <c r="G18" s="6"/>
      <c r="H18" s="6"/>
      <c r="I18" s="6"/>
      <c r="J18" s="6"/>
      <c r="K18" s="6"/>
      <c r="L18" s="6"/>
      <c r="M18" s="6"/>
      <c r="N18" s="6"/>
      <c r="O18" s="6"/>
      <c r="P18" s="6"/>
      <c r="Q18" s="6"/>
      <c r="R18" s="6"/>
      <c r="S18" s="6"/>
    </row>
    <row r="19" spans="1:19" x14ac:dyDescent="0.25">
      <c r="A19" s="6"/>
      <c r="B19" s="6"/>
      <c r="C19" s="6"/>
      <c r="D19" s="6"/>
      <c r="E19" s="6"/>
      <c r="F19" s="6"/>
      <c r="G19" s="6"/>
      <c r="H19" s="6"/>
      <c r="I19" s="6"/>
      <c r="J19" s="6"/>
      <c r="K19" s="6"/>
      <c r="L19" s="6"/>
      <c r="M19" s="6"/>
      <c r="N19" s="6"/>
      <c r="O19" s="6"/>
      <c r="P19" s="6"/>
      <c r="Q19" s="6"/>
      <c r="R19" s="6"/>
      <c r="S19" s="6"/>
    </row>
    <row r="20" spans="1:19" x14ac:dyDescent="0.25">
      <c r="A20" s="6"/>
      <c r="B20" s="6"/>
      <c r="C20" s="6"/>
      <c r="D20" s="6"/>
      <c r="E20" s="6"/>
      <c r="F20" s="6"/>
      <c r="G20" s="6"/>
      <c r="H20" s="6"/>
      <c r="I20" s="6"/>
      <c r="J20" s="6"/>
      <c r="K20" s="6"/>
      <c r="L20" s="6"/>
      <c r="M20" s="6"/>
      <c r="N20" s="6"/>
      <c r="O20" s="6"/>
      <c r="P20" s="6"/>
      <c r="Q20" s="6"/>
      <c r="R20" s="6"/>
      <c r="S20" s="6"/>
    </row>
    <row r="21" spans="1:19" x14ac:dyDescent="0.25">
      <c r="A21" s="6"/>
      <c r="B21" s="6"/>
      <c r="C21" s="6"/>
      <c r="D21" s="6"/>
      <c r="E21" s="6"/>
      <c r="F21" s="6"/>
      <c r="G21" s="6"/>
      <c r="H21" s="6"/>
      <c r="I21" s="6"/>
      <c r="J21" s="6"/>
      <c r="K21" s="6"/>
      <c r="L21" s="6"/>
      <c r="M21" s="6"/>
      <c r="N21" s="6"/>
      <c r="O21" s="6"/>
      <c r="P21" s="6"/>
      <c r="Q21" s="6"/>
      <c r="R21" s="6"/>
      <c r="S21" s="6"/>
    </row>
    <row r="22" spans="1:19" x14ac:dyDescent="0.25">
      <c r="A22" s="6"/>
      <c r="B22" s="6"/>
      <c r="C22" s="6"/>
      <c r="D22" s="6"/>
      <c r="E22" s="6"/>
      <c r="F22" s="6"/>
      <c r="G22" s="6"/>
      <c r="H22" s="6"/>
      <c r="I22" s="6"/>
      <c r="J22" s="6"/>
      <c r="K22" s="6"/>
      <c r="L22" s="6"/>
      <c r="M22" s="6"/>
      <c r="N22" s="6"/>
      <c r="O22" s="6"/>
      <c r="P22" s="6"/>
      <c r="Q22" s="6"/>
      <c r="R22" s="6"/>
      <c r="S22" s="6"/>
    </row>
    <row r="23" spans="1:19" x14ac:dyDescent="0.25">
      <c r="A23" s="6"/>
      <c r="B23" s="6"/>
      <c r="C23" s="6"/>
      <c r="D23" s="6"/>
      <c r="E23" s="6"/>
      <c r="F23" s="6"/>
      <c r="G23" s="6"/>
      <c r="H23" s="6"/>
      <c r="I23" s="6"/>
      <c r="J23" s="6"/>
      <c r="K23" s="6"/>
      <c r="L23" s="6"/>
      <c r="M23" s="6"/>
      <c r="N23" s="6"/>
      <c r="O23" s="6"/>
      <c r="P23" s="6"/>
      <c r="Q23" s="6"/>
      <c r="R23" s="6"/>
      <c r="S23" s="6"/>
    </row>
    <row r="24" spans="1:19" x14ac:dyDescent="0.25">
      <c r="A24" s="6"/>
      <c r="B24" s="6"/>
      <c r="C24" s="6"/>
      <c r="D24" s="6"/>
      <c r="E24" s="6"/>
      <c r="F24" s="6"/>
      <c r="G24" s="6"/>
      <c r="H24" s="6"/>
      <c r="I24" s="6"/>
      <c r="J24" s="6"/>
      <c r="K24" s="6"/>
      <c r="L24" s="6"/>
      <c r="M24" s="6"/>
      <c r="N24" s="6"/>
      <c r="O24" s="6"/>
      <c r="P24" s="6"/>
      <c r="Q24" s="6"/>
      <c r="R24" s="6"/>
      <c r="S24" s="6"/>
    </row>
  </sheetData>
  <mergeCells count="1">
    <mergeCell ref="A3:K3"/>
  </mergeCells>
  <pageMargins left="0.7" right="0.7" top="0.75" bottom="0.75" header="0.3" footer="0.3"/>
  <ignoredErrors>
    <ignoredError sqref="D8 B17 B15 B11 B9" evalError="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89293-7BD9-4560-AD77-1803B512C2A5}">
  <sheetPr>
    <pageSetUpPr fitToPage="1"/>
  </sheetPr>
  <dimension ref="B1:N187"/>
  <sheetViews>
    <sheetView showGridLines="0" zoomScaleNormal="100" zoomScaleSheetLayoutView="50" workbookViewId="0">
      <selection activeCell="G154" sqref="G154"/>
    </sheetView>
  </sheetViews>
  <sheetFormatPr defaultColWidth="8" defaultRowHeight="14.25" x14ac:dyDescent="0.2"/>
  <cols>
    <col min="1" max="1" width="2" style="139" customWidth="1"/>
    <col min="2" max="2" width="59" style="139" customWidth="1"/>
    <col min="3" max="3" width="54.140625" style="139" customWidth="1"/>
    <col min="4" max="4" width="21.42578125" style="139" customWidth="1"/>
    <col min="5" max="5" width="12.42578125" style="139" customWidth="1"/>
    <col min="6" max="6" width="25.7109375" style="139" customWidth="1"/>
    <col min="7" max="7" width="23" style="140" customWidth="1"/>
    <col min="8" max="8" width="2.5703125" style="139" customWidth="1"/>
    <col min="9" max="9" width="15.5703125" style="139" customWidth="1"/>
    <col min="10" max="10" width="21.140625" style="139" bestFit="1" customWidth="1"/>
    <col min="11" max="11" width="9.5703125" style="139" customWidth="1"/>
    <col min="12" max="12" width="19" style="139" customWidth="1"/>
    <col min="13" max="13" width="12.140625" style="139" customWidth="1"/>
    <col min="14" max="14" width="9.85546875" style="139" bestFit="1" customWidth="1"/>
    <col min="15" max="16384" width="8" style="139"/>
  </cols>
  <sheetData>
    <row r="1" spans="2:12" ht="18" x14ac:dyDescent="0.25">
      <c r="B1" s="138" t="s">
        <v>272</v>
      </c>
    </row>
    <row r="4" spans="2:12" x14ac:dyDescent="0.2">
      <c r="B4" s="141" t="s">
        <v>159</v>
      </c>
      <c r="C4" s="142"/>
      <c r="D4" s="431"/>
      <c r="E4" s="432"/>
      <c r="F4" s="164" t="s">
        <v>318</v>
      </c>
      <c r="G4" s="144"/>
    </row>
    <row r="5" spans="2:12" x14ac:dyDescent="0.2">
      <c r="B5" s="145" t="s">
        <v>160</v>
      </c>
      <c r="C5" s="334"/>
      <c r="D5" s="437"/>
      <c r="E5" s="437"/>
      <c r="F5" s="437"/>
      <c r="G5" s="437"/>
      <c r="J5" s="146"/>
    </row>
    <row r="6" spans="2:12" ht="38.25" customHeight="1" x14ac:dyDescent="0.2">
      <c r="B6" s="323" t="s">
        <v>372</v>
      </c>
      <c r="C6" s="334"/>
      <c r="D6" s="445"/>
      <c r="E6" s="446"/>
      <c r="F6" s="336"/>
      <c r="G6" s="313"/>
      <c r="J6" s="146"/>
    </row>
    <row r="7" spans="2:12" ht="63.75" customHeight="1" x14ac:dyDescent="0.2">
      <c r="B7" s="386" t="str">
        <f>IF(Hulpblad_overig!B7=2,"N.v.t.","Deelnemers samenwerkingsverband:")</f>
        <v>N.v.t.</v>
      </c>
      <c r="C7" s="334"/>
      <c r="D7" s="447"/>
      <c r="E7" s="448"/>
      <c r="F7" s="448"/>
      <c r="G7" s="449"/>
      <c r="J7" s="146"/>
    </row>
    <row r="8" spans="2:12" ht="6.75" customHeight="1" x14ac:dyDescent="0.2">
      <c r="B8" s="386"/>
      <c r="C8" s="334"/>
      <c r="D8" s="336"/>
      <c r="E8" s="387"/>
      <c r="F8" s="387"/>
      <c r="G8" s="388"/>
      <c r="J8" s="146"/>
    </row>
    <row r="9" spans="2:12" ht="15" x14ac:dyDescent="0.2">
      <c r="B9" s="145" t="s">
        <v>163</v>
      </c>
      <c r="C9" s="334"/>
      <c r="D9" s="440"/>
      <c r="E9" s="441"/>
      <c r="F9" s="441"/>
      <c r="G9" s="442"/>
      <c r="I9" s="147"/>
      <c r="J9" s="101"/>
      <c r="L9" s="101"/>
    </row>
    <row r="10" spans="2:12" ht="15" x14ac:dyDescent="0.2">
      <c r="B10" s="145" t="s">
        <v>337</v>
      </c>
      <c r="C10" s="334"/>
      <c r="D10" s="438" t="s">
        <v>338</v>
      </c>
      <c r="E10" s="439"/>
      <c r="F10" s="333"/>
      <c r="G10" s="335"/>
      <c r="I10" s="147"/>
      <c r="J10" s="101"/>
      <c r="L10" s="101"/>
    </row>
    <row r="11" spans="2:12" x14ac:dyDescent="0.2">
      <c r="B11" s="145"/>
      <c r="G11" s="342"/>
    </row>
    <row r="12" spans="2:12" ht="30" customHeight="1" x14ac:dyDescent="0.2">
      <c r="B12" s="323" t="s">
        <v>320</v>
      </c>
      <c r="C12" s="433" t="s">
        <v>223</v>
      </c>
      <c r="D12" s="434"/>
      <c r="E12" s="434"/>
      <c r="F12" s="434"/>
      <c r="G12" s="435"/>
      <c r="I12" s="147"/>
      <c r="J12" s="101"/>
      <c r="L12" s="101"/>
    </row>
    <row r="13" spans="2:12" ht="15" x14ac:dyDescent="0.2">
      <c r="B13" s="145"/>
      <c r="C13" s="334"/>
      <c r="D13" s="336"/>
      <c r="E13" s="336"/>
      <c r="F13" s="336"/>
      <c r="G13" s="313"/>
      <c r="I13" s="147"/>
      <c r="J13" s="101"/>
      <c r="L13" s="324"/>
    </row>
    <row r="14" spans="2:12" ht="15" x14ac:dyDescent="0.2">
      <c r="B14" s="145" t="s">
        <v>227</v>
      </c>
      <c r="C14" s="334"/>
      <c r="D14" s="413"/>
      <c r="E14" s="436"/>
      <c r="F14" s="148" t="s">
        <v>319</v>
      </c>
      <c r="G14" s="149"/>
      <c r="I14" s="147"/>
      <c r="J14" s="101"/>
      <c r="L14" s="101"/>
    </row>
    <row r="15" spans="2:12" ht="15" x14ac:dyDescent="0.2">
      <c r="B15" s="145" t="s">
        <v>226</v>
      </c>
      <c r="C15" s="334"/>
      <c r="D15" s="443"/>
      <c r="E15" s="444"/>
      <c r="F15" s="148" t="s">
        <v>229</v>
      </c>
      <c r="G15" s="149"/>
      <c r="I15" s="147"/>
      <c r="J15" s="324"/>
      <c r="L15" s="101"/>
    </row>
    <row r="16" spans="2:12" ht="15" x14ac:dyDescent="0.2">
      <c r="B16" s="145" t="s">
        <v>228</v>
      </c>
      <c r="C16" s="334"/>
      <c r="D16" s="409">
        <f>D14*D15</f>
        <v>0</v>
      </c>
      <c r="E16" s="430"/>
      <c r="F16" s="148" t="s">
        <v>267</v>
      </c>
      <c r="G16" s="149"/>
      <c r="I16" s="147"/>
      <c r="J16" s="101"/>
      <c r="L16" s="101"/>
    </row>
    <row r="17" spans="2:12" ht="15" x14ac:dyDescent="0.2">
      <c r="B17" s="145"/>
      <c r="C17" s="334"/>
      <c r="D17" s="330"/>
      <c r="E17" s="332"/>
      <c r="F17" s="148"/>
      <c r="G17" s="149"/>
      <c r="I17" s="147"/>
      <c r="J17" s="101"/>
      <c r="L17" s="101"/>
    </row>
    <row r="18" spans="2:12" ht="15" x14ac:dyDescent="0.2">
      <c r="B18" s="304" t="s">
        <v>292</v>
      </c>
      <c r="C18" s="334"/>
      <c r="D18" s="330"/>
      <c r="E18" s="332"/>
      <c r="F18" s="148"/>
      <c r="G18" s="149"/>
      <c r="I18" s="147"/>
      <c r="J18" s="101"/>
      <c r="L18" s="101"/>
    </row>
    <row r="19" spans="2:12" ht="15" x14ac:dyDescent="0.2">
      <c r="B19" s="145" t="s">
        <v>281</v>
      </c>
      <c r="C19" s="337"/>
      <c r="D19" s="413"/>
      <c r="E19" s="436"/>
      <c r="F19" s="148" t="s">
        <v>230</v>
      </c>
      <c r="G19" s="149"/>
      <c r="I19" s="147"/>
      <c r="J19" s="101"/>
      <c r="L19" s="101"/>
    </row>
    <row r="20" spans="2:12" ht="15" x14ac:dyDescent="0.2">
      <c r="B20" s="145" t="s">
        <v>280</v>
      </c>
      <c r="C20" s="337"/>
      <c r="D20" s="409">
        <f>D19*0.03932</f>
        <v>0</v>
      </c>
      <c r="E20" s="430"/>
      <c r="F20" s="148" t="s">
        <v>273</v>
      </c>
      <c r="G20" s="149"/>
      <c r="I20" s="147"/>
      <c r="J20" s="101"/>
      <c r="L20" s="101"/>
    </row>
    <row r="21" spans="2:12" ht="15" x14ac:dyDescent="0.2">
      <c r="B21" s="145" t="s">
        <v>282</v>
      </c>
      <c r="C21" s="337"/>
      <c r="D21" s="409">
        <f>IF(D14&gt;0,(IF(D20/D16&lt;8766,D20/D16,"Te hoge vollasturen!!!")),0)</f>
        <v>0</v>
      </c>
      <c r="E21" s="430"/>
      <c r="F21" s="148" t="s">
        <v>214</v>
      </c>
      <c r="G21" s="149"/>
      <c r="I21" s="147"/>
      <c r="J21" s="101"/>
      <c r="L21" s="101"/>
    </row>
    <row r="22" spans="2:12" ht="15" x14ac:dyDescent="0.2">
      <c r="B22" s="145"/>
      <c r="C22" s="337"/>
      <c r="D22" s="330"/>
      <c r="E22" s="332"/>
      <c r="F22" s="148"/>
      <c r="G22" s="149"/>
      <c r="I22" s="147"/>
      <c r="J22" s="101"/>
      <c r="L22" s="101"/>
    </row>
    <row r="23" spans="2:12" ht="15" x14ac:dyDescent="0.2">
      <c r="B23" s="304" t="s">
        <v>293</v>
      </c>
      <c r="C23" s="334"/>
      <c r="D23" s="330"/>
      <c r="E23" s="332"/>
      <c r="F23" s="148"/>
      <c r="G23" s="149"/>
      <c r="I23" s="147"/>
      <c r="J23" s="101"/>
      <c r="L23" s="101"/>
    </row>
    <row r="24" spans="2:12" ht="15" x14ac:dyDescent="0.2">
      <c r="B24" s="145" t="s">
        <v>283</v>
      </c>
      <c r="C24" s="337"/>
      <c r="D24" s="427"/>
      <c r="E24" s="428"/>
      <c r="F24" s="148" t="s">
        <v>230</v>
      </c>
      <c r="G24" s="149"/>
      <c r="I24" s="147"/>
      <c r="J24" s="101"/>
      <c r="L24" s="101"/>
    </row>
    <row r="25" spans="2:12" ht="15" x14ac:dyDescent="0.2">
      <c r="B25" s="145" t="s">
        <v>284</v>
      </c>
      <c r="C25" s="337"/>
      <c r="D25" s="409">
        <f>D24*0.03932</f>
        <v>0</v>
      </c>
      <c r="E25" s="430"/>
      <c r="F25" s="148" t="s">
        <v>273</v>
      </c>
      <c r="G25" s="149"/>
      <c r="I25" s="147"/>
      <c r="J25" s="101"/>
      <c r="L25" s="101"/>
    </row>
    <row r="26" spans="2:12" ht="15" x14ac:dyDescent="0.2">
      <c r="B26" s="145" t="s">
        <v>285</v>
      </c>
      <c r="C26" s="337"/>
      <c r="D26" s="409">
        <f>IF(D14&gt;0,(IF((D20+D25)/D16&lt;8766,(D20+D25)/D16,"Te hoge vollasturen!!!")),0)</f>
        <v>0</v>
      </c>
      <c r="E26" s="429"/>
      <c r="F26" s="148" t="s">
        <v>214</v>
      </c>
      <c r="G26" s="149"/>
      <c r="I26" s="147"/>
      <c r="J26" s="101"/>
      <c r="L26" s="101"/>
    </row>
    <row r="27" spans="2:12" ht="15" x14ac:dyDescent="0.2">
      <c r="B27" s="145"/>
      <c r="C27" s="334"/>
      <c r="D27" s="330"/>
      <c r="E27" s="331"/>
      <c r="F27" s="148"/>
      <c r="G27" s="149"/>
      <c r="I27" s="147"/>
      <c r="J27" s="101"/>
      <c r="L27" s="101"/>
    </row>
    <row r="28" spans="2:12" ht="15" x14ac:dyDescent="0.2">
      <c r="B28" s="304" t="s">
        <v>294</v>
      </c>
      <c r="C28" s="334"/>
      <c r="D28" s="330"/>
      <c r="E28" s="331"/>
      <c r="F28" s="148"/>
      <c r="G28" s="149"/>
      <c r="I28" s="147"/>
      <c r="J28" s="101"/>
      <c r="L28" s="101"/>
    </row>
    <row r="29" spans="2:12" ht="15" x14ac:dyDescent="0.2">
      <c r="B29" s="145" t="s">
        <v>286</v>
      </c>
      <c r="C29" s="334"/>
      <c r="D29" s="413"/>
      <c r="E29" s="414"/>
      <c r="F29" s="148" t="s">
        <v>230</v>
      </c>
      <c r="G29" s="149"/>
      <c r="I29" s="147"/>
      <c r="J29" s="101"/>
      <c r="L29" s="101"/>
    </row>
    <row r="30" spans="2:12" ht="15" x14ac:dyDescent="0.2">
      <c r="B30" s="145" t="s">
        <v>287</v>
      </c>
      <c r="C30" s="334"/>
      <c r="D30" s="409">
        <f>D29*0.03932</f>
        <v>0</v>
      </c>
      <c r="E30" s="410"/>
      <c r="F30" s="148" t="s">
        <v>273</v>
      </c>
      <c r="G30" s="149"/>
      <c r="I30" s="147"/>
      <c r="J30" s="101"/>
      <c r="L30" s="101"/>
    </row>
    <row r="31" spans="2:12" ht="15" x14ac:dyDescent="0.2">
      <c r="B31" s="145" t="s">
        <v>288</v>
      </c>
      <c r="C31" s="334"/>
      <c r="D31" s="409">
        <f>IF(D14&gt;0,(IF(D30/D16&lt;8766,D30/D16,"Te hoge vollasturen!!!")),0)</f>
        <v>0</v>
      </c>
      <c r="E31" s="410"/>
      <c r="F31" s="148" t="s">
        <v>214</v>
      </c>
      <c r="G31" s="149"/>
      <c r="I31" s="147"/>
      <c r="J31" s="101"/>
      <c r="L31" s="101"/>
    </row>
    <row r="32" spans="2:12" ht="15" x14ac:dyDescent="0.2">
      <c r="B32" s="145"/>
      <c r="C32" s="334"/>
      <c r="D32" s="330"/>
      <c r="E32" s="331"/>
      <c r="F32" s="148"/>
      <c r="G32" s="149"/>
      <c r="I32" s="147"/>
      <c r="J32" s="101"/>
      <c r="L32" s="101"/>
    </row>
    <row r="33" spans="2:12" ht="15" x14ac:dyDescent="0.2">
      <c r="B33" s="304" t="s">
        <v>295</v>
      </c>
      <c r="C33" s="334"/>
      <c r="D33" s="330"/>
      <c r="E33" s="331"/>
      <c r="F33" s="148"/>
      <c r="G33" s="149"/>
      <c r="I33" s="147"/>
      <c r="J33" s="101"/>
      <c r="L33" s="101"/>
    </row>
    <row r="34" spans="2:12" ht="15" x14ac:dyDescent="0.2">
      <c r="B34" s="145" t="s">
        <v>289</v>
      </c>
      <c r="C34" s="334"/>
      <c r="D34" s="413">
        <v>0</v>
      </c>
      <c r="E34" s="414"/>
      <c r="F34" s="148" t="s">
        <v>230</v>
      </c>
      <c r="G34" s="149"/>
      <c r="I34" s="147"/>
      <c r="J34" s="101"/>
      <c r="L34" s="101"/>
    </row>
    <row r="35" spans="2:12" ht="15" x14ac:dyDescent="0.2">
      <c r="B35" s="145" t="s">
        <v>290</v>
      </c>
      <c r="C35" s="334"/>
      <c r="D35" s="409">
        <f>D34*0.03932</f>
        <v>0</v>
      </c>
      <c r="E35" s="410"/>
      <c r="F35" s="148" t="s">
        <v>273</v>
      </c>
      <c r="G35" s="149"/>
      <c r="I35" s="147"/>
      <c r="J35" s="101"/>
      <c r="L35" s="101"/>
    </row>
    <row r="36" spans="2:12" ht="15" x14ac:dyDescent="0.2">
      <c r="B36" s="145" t="s">
        <v>291</v>
      </c>
      <c r="C36" s="334"/>
      <c r="D36" s="409">
        <f>IF(D14&gt;0,(IF((D30+D35)/D16&lt;8766,(D30+D35)/D16,"Te hoge vollasturen!!!")),0)</f>
        <v>0</v>
      </c>
      <c r="E36" s="410"/>
      <c r="F36" s="148" t="s">
        <v>214</v>
      </c>
      <c r="G36" s="149"/>
      <c r="I36" s="147"/>
      <c r="J36" s="101"/>
      <c r="L36" s="101"/>
    </row>
    <row r="37" spans="2:12" ht="15" x14ac:dyDescent="0.2">
      <c r="B37" s="145"/>
      <c r="C37" s="334"/>
      <c r="D37" s="330"/>
      <c r="E37" s="331"/>
      <c r="F37" s="148"/>
      <c r="G37" s="149"/>
      <c r="I37" s="147"/>
      <c r="J37" s="101"/>
      <c r="L37" s="101"/>
    </row>
    <row r="38" spans="2:12" ht="15" x14ac:dyDescent="0.2">
      <c r="B38" s="145" t="s">
        <v>265</v>
      </c>
      <c r="C38" s="334"/>
      <c r="D38" s="417">
        <v>10</v>
      </c>
      <c r="E38" s="425"/>
      <c r="F38" s="148" t="s">
        <v>266</v>
      </c>
      <c r="G38" s="149"/>
      <c r="I38" s="147"/>
      <c r="J38" s="101"/>
      <c r="L38" s="101"/>
    </row>
    <row r="39" spans="2:12" ht="15" x14ac:dyDescent="0.2">
      <c r="B39" s="145" t="s">
        <v>275</v>
      </c>
      <c r="C39" s="334"/>
      <c r="D39" s="417">
        <v>15</v>
      </c>
      <c r="E39" s="418"/>
      <c r="F39" s="148" t="s">
        <v>266</v>
      </c>
      <c r="G39" s="149"/>
      <c r="I39" s="298" t="str">
        <f>IF(D38&gt;D39,"Economische levensduur kan niet korter zijn dan de subsidielooptijd!","")</f>
        <v/>
      </c>
      <c r="J39" s="101"/>
      <c r="L39" s="101"/>
    </row>
    <row r="40" spans="2:12" ht="17.25" x14ac:dyDescent="0.3">
      <c r="B40" s="145" t="s">
        <v>371</v>
      </c>
      <c r="C40" s="334"/>
      <c r="D40" s="423"/>
      <c r="E40" s="424"/>
      <c r="F40" s="150" t="s">
        <v>270</v>
      </c>
      <c r="G40" s="149"/>
      <c r="I40" s="147"/>
      <c r="J40" s="101"/>
      <c r="L40" s="101"/>
    </row>
    <row r="41" spans="2:12" ht="17.25" x14ac:dyDescent="0.3">
      <c r="B41" s="145" t="s">
        <v>335</v>
      </c>
      <c r="C41" s="334"/>
      <c r="D41" s="415" t="e">
        <f>(D40-1.7997)+G153/(D19*D38)</f>
        <v>#DIV/0!</v>
      </c>
      <c r="E41" s="416"/>
      <c r="F41" s="150" t="s">
        <v>270</v>
      </c>
      <c r="G41" s="343"/>
      <c r="I41" s="298" t="e">
        <f>IF(D41&gt;9,"Aangevraagd subsidiebedrag kan niet groter dan 9 euro/kgH₂ zijn!","")</f>
        <v>#DIV/0!</v>
      </c>
      <c r="J41" s="101"/>
      <c r="L41" s="101"/>
    </row>
    <row r="42" spans="2:12" ht="15" x14ac:dyDescent="0.2">
      <c r="B42" s="145" t="s">
        <v>369</v>
      </c>
      <c r="C42" s="334"/>
      <c r="D42" s="421">
        <f>(G153+(D19*D38*(D40-1.7997)))</f>
        <v>0</v>
      </c>
      <c r="E42" s="426"/>
      <c r="F42" s="150" t="s">
        <v>363</v>
      </c>
      <c r="G42" s="343"/>
      <c r="I42" s="298" t="str">
        <f>IF(D42&gt;499165000,"Aangevraagd subsidiebedrag kan niet groter dan 499.165.000  euro!","")</f>
        <v/>
      </c>
      <c r="J42" s="101"/>
      <c r="L42" s="101"/>
    </row>
    <row r="43" spans="2:12" ht="15" x14ac:dyDescent="0.2">
      <c r="B43" s="145" t="s">
        <v>263</v>
      </c>
      <c r="C43" s="334"/>
      <c r="D43" s="421" t="e">
        <f>(G148+G149+G153+(D19*D38*(D40-1.7997)))/D14</f>
        <v>#DIV/0!</v>
      </c>
      <c r="E43" s="422"/>
      <c r="F43" s="150" t="s">
        <v>362</v>
      </c>
      <c r="G43" s="343"/>
      <c r="I43" s="298"/>
      <c r="J43" s="101"/>
      <c r="L43" s="101"/>
    </row>
    <row r="44" spans="2:12" ht="15" x14ac:dyDescent="0.2">
      <c r="B44" s="145" t="s">
        <v>316</v>
      </c>
      <c r="C44" s="334"/>
      <c r="D44" s="419">
        <v>36678</v>
      </c>
      <c r="E44" s="420"/>
      <c r="F44" s="151"/>
      <c r="G44" s="149"/>
      <c r="I44" s="147"/>
      <c r="J44" s="101"/>
      <c r="L44" s="101"/>
    </row>
    <row r="45" spans="2:12" x14ac:dyDescent="0.2">
      <c r="B45" s="152" t="s">
        <v>317</v>
      </c>
      <c r="C45" s="153"/>
      <c r="D45" s="419">
        <v>37043</v>
      </c>
      <c r="E45" s="420"/>
      <c r="F45" s="154"/>
      <c r="G45" s="155"/>
      <c r="H45" s="102"/>
      <c r="I45" s="344" t="str">
        <f>IF(D44&gt;D45,"De einddatum moet na de begindatum liggen!","")</f>
        <v/>
      </c>
    </row>
    <row r="46" spans="2:12" x14ac:dyDescent="0.2">
      <c r="B46" s="314"/>
      <c r="C46" s="156"/>
      <c r="D46" s="104"/>
      <c r="E46" s="104"/>
      <c r="F46" s="104"/>
      <c r="G46" s="315"/>
      <c r="H46" s="102"/>
      <c r="I46" s="103"/>
    </row>
    <row r="47" spans="2:12" x14ac:dyDescent="0.2">
      <c r="B47" s="314"/>
      <c r="C47" s="157"/>
      <c r="D47" s="316"/>
      <c r="E47" s="158"/>
      <c r="F47" s="158"/>
      <c r="G47" s="317"/>
      <c r="I47" s="159"/>
      <c r="J47" s="101"/>
    </row>
    <row r="48" spans="2:12" x14ac:dyDescent="0.2">
      <c r="B48" s="314" t="s">
        <v>165</v>
      </c>
      <c r="C48" s="158"/>
      <c r="D48" s="157"/>
      <c r="E48" s="157"/>
      <c r="F48" s="157"/>
      <c r="G48" s="318"/>
      <c r="I48" s="159"/>
      <c r="J48" s="101"/>
    </row>
    <row r="49" spans="2:7" ht="14.25" customHeight="1" x14ac:dyDescent="0.2">
      <c r="B49" s="319"/>
      <c r="C49" s="158"/>
      <c r="D49" s="157"/>
      <c r="E49" s="157"/>
      <c r="F49" s="157"/>
      <c r="G49" s="318"/>
    </row>
    <row r="50" spans="2:7" ht="14.25" customHeight="1" x14ac:dyDescent="0.2">
      <c r="B50" s="152"/>
      <c r="C50" s="320"/>
      <c r="D50" s="321"/>
      <c r="E50" s="321"/>
      <c r="F50" s="321"/>
      <c r="G50" s="322"/>
    </row>
    <row r="51" spans="2:7" x14ac:dyDescent="0.2">
      <c r="B51" s="160" t="s">
        <v>166</v>
      </c>
      <c r="C51" s="161"/>
      <c r="D51" s="162"/>
      <c r="E51" s="161"/>
      <c r="F51" s="161"/>
      <c r="G51" s="163"/>
    </row>
    <row r="52" spans="2:7" x14ac:dyDescent="0.2">
      <c r="B52" s="164" t="s">
        <v>167</v>
      </c>
      <c r="C52" s="143"/>
      <c r="D52" s="143"/>
      <c r="E52" s="164"/>
      <c r="F52" s="164" t="s">
        <v>168</v>
      </c>
      <c r="G52" s="165" t="s">
        <v>169</v>
      </c>
    </row>
    <row r="53" spans="2:7" x14ac:dyDescent="0.2">
      <c r="G53" s="105"/>
    </row>
    <row r="54" spans="2:7" x14ac:dyDescent="0.2">
      <c r="B54" s="407" t="s">
        <v>200</v>
      </c>
      <c r="C54" s="408"/>
      <c r="D54" s="408"/>
      <c r="E54" s="174"/>
      <c r="F54" s="175"/>
      <c r="G54" s="176">
        <v>0</v>
      </c>
    </row>
    <row r="55" spans="2:7" x14ac:dyDescent="0.2">
      <c r="B55" s="405" t="s">
        <v>201</v>
      </c>
      <c r="C55" s="406"/>
      <c r="D55" s="406"/>
      <c r="E55" s="177"/>
      <c r="F55" s="117"/>
      <c r="G55" s="178">
        <v>0</v>
      </c>
    </row>
    <row r="56" spans="2:7" x14ac:dyDescent="0.2">
      <c r="B56" s="399"/>
      <c r="C56" s="400"/>
      <c r="D56" s="400"/>
      <c r="E56" s="177"/>
      <c r="F56" s="117"/>
      <c r="G56" s="178">
        <v>0</v>
      </c>
    </row>
    <row r="57" spans="2:7" x14ac:dyDescent="0.2">
      <c r="B57" s="399"/>
      <c r="C57" s="400"/>
      <c r="D57" s="400"/>
      <c r="E57" s="177"/>
      <c r="F57" s="117"/>
      <c r="G57" s="178">
        <v>0</v>
      </c>
    </row>
    <row r="58" spans="2:7" x14ac:dyDescent="0.2">
      <c r="B58" s="399"/>
      <c r="C58" s="400"/>
      <c r="D58" s="400"/>
      <c r="E58" s="177"/>
      <c r="F58" s="117"/>
      <c r="G58" s="178">
        <v>0</v>
      </c>
    </row>
    <row r="59" spans="2:7" x14ac:dyDescent="0.2">
      <c r="B59" s="399"/>
      <c r="C59" s="400"/>
      <c r="D59" s="400"/>
      <c r="E59" s="177"/>
      <c r="F59" s="116"/>
      <c r="G59" s="178">
        <v>0</v>
      </c>
    </row>
    <row r="60" spans="2:7" x14ac:dyDescent="0.2">
      <c r="B60" s="399"/>
      <c r="C60" s="400"/>
      <c r="D60" s="400"/>
      <c r="E60" s="177"/>
      <c r="F60" s="116"/>
      <c r="G60" s="178">
        <v>0</v>
      </c>
    </row>
    <row r="61" spans="2:7" x14ac:dyDescent="0.2">
      <c r="B61" s="401"/>
      <c r="C61" s="402"/>
      <c r="D61" s="402"/>
      <c r="E61" s="180"/>
      <c r="F61" s="180"/>
      <c r="G61" s="181">
        <v>0</v>
      </c>
    </row>
    <row r="62" spans="2:7" x14ac:dyDescent="0.2">
      <c r="G62" s="105"/>
    </row>
    <row r="63" spans="2:7" x14ac:dyDescent="0.2">
      <c r="F63" s="166" t="s">
        <v>170</v>
      </c>
      <c r="G63" s="106">
        <f>SUM(G54:G61)</f>
        <v>0</v>
      </c>
    </row>
    <row r="64" spans="2:7" x14ac:dyDescent="0.2">
      <c r="G64" s="107"/>
    </row>
    <row r="65" spans="2:7" x14ac:dyDescent="0.2">
      <c r="B65" s="160" t="s">
        <v>171</v>
      </c>
      <c r="C65" s="162"/>
      <c r="D65" s="162"/>
      <c r="E65" s="161"/>
      <c r="F65" s="161"/>
      <c r="G65" s="108"/>
    </row>
    <row r="66" spans="2:7" ht="14.25" customHeight="1" x14ac:dyDescent="0.2">
      <c r="B66" s="164" t="s">
        <v>167</v>
      </c>
      <c r="C66" s="143"/>
      <c r="D66" s="143"/>
      <c r="E66" s="164"/>
      <c r="F66" s="164" t="s">
        <v>168</v>
      </c>
      <c r="G66" s="165" t="s">
        <v>169</v>
      </c>
    </row>
    <row r="67" spans="2:7" x14ac:dyDescent="0.2">
      <c r="G67" s="107"/>
    </row>
    <row r="68" spans="2:7" x14ac:dyDescent="0.2">
      <c r="B68" s="407" t="s">
        <v>202</v>
      </c>
      <c r="C68" s="408"/>
      <c r="D68" s="408"/>
      <c r="E68" s="174"/>
      <c r="F68" s="175"/>
      <c r="G68" s="176">
        <v>0</v>
      </c>
    </row>
    <row r="69" spans="2:7" x14ac:dyDescent="0.2">
      <c r="B69" s="405" t="s">
        <v>204</v>
      </c>
      <c r="C69" s="406"/>
      <c r="D69" s="406"/>
      <c r="E69" s="177"/>
      <c r="F69" s="116"/>
      <c r="G69" s="178">
        <v>0</v>
      </c>
    </row>
    <row r="70" spans="2:7" x14ac:dyDescent="0.2">
      <c r="B70" s="405" t="s">
        <v>205</v>
      </c>
      <c r="C70" s="406"/>
      <c r="D70" s="406"/>
      <c r="E70" s="177"/>
      <c r="F70" s="116"/>
      <c r="G70" s="178">
        <v>0</v>
      </c>
    </row>
    <row r="71" spans="2:7" x14ac:dyDescent="0.2">
      <c r="B71" s="405" t="s">
        <v>206</v>
      </c>
      <c r="C71" s="406"/>
      <c r="D71" s="406"/>
      <c r="E71" s="177"/>
      <c r="F71" s="116"/>
      <c r="G71" s="178">
        <v>0</v>
      </c>
    </row>
    <row r="72" spans="2:7" x14ac:dyDescent="0.2">
      <c r="B72" s="405" t="s">
        <v>207</v>
      </c>
      <c r="C72" s="406"/>
      <c r="D72" s="406"/>
      <c r="E72" s="177"/>
      <c r="F72" s="116"/>
      <c r="G72" s="178">
        <v>0</v>
      </c>
    </row>
    <row r="73" spans="2:7" x14ac:dyDescent="0.2">
      <c r="B73" s="405" t="s">
        <v>210</v>
      </c>
      <c r="C73" s="406"/>
      <c r="D73" s="406"/>
      <c r="E73" s="177"/>
      <c r="F73" s="116"/>
      <c r="G73" s="178">
        <v>0</v>
      </c>
    </row>
    <row r="74" spans="2:7" x14ac:dyDescent="0.2">
      <c r="B74" s="405" t="s">
        <v>208</v>
      </c>
      <c r="C74" s="406"/>
      <c r="D74" s="406"/>
      <c r="E74" s="177"/>
      <c r="F74" s="116"/>
      <c r="G74" s="178">
        <v>0</v>
      </c>
    </row>
    <row r="75" spans="2:7" x14ac:dyDescent="0.2">
      <c r="B75" s="405" t="s">
        <v>209</v>
      </c>
      <c r="C75" s="406"/>
      <c r="D75" s="406"/>
      <c r="E75" s="177"/>
      <c r="F75" s="116"/>
      <c r="G75" s="178">
        <v>0</v>
      </c>
    </row>
    <row r="76" spans="2:7" x14ac:dyDescent="0.2">
      <c r="B76" s="179" t="s">
        <v>213</v>
      </c>
      <c r="C76" s="119"/>
      <c r="D76" s="119"/>
      <c r="E76" s="177"/>
      <c r="F76" s="116"/>
      <c r="G76" s="178">
        <v>0</v>
      </c>
    </row>
    <row r="77" spans="2:7" x14ac:dyDescent="0.2">
      <c r="B77" s="179"/>
      <c r="C77" s="119"/>
      <c r="D77" s="119"/>
      <c r="E77" s="177"/>
      <c r="F77" s="116"/>
      <c r="G77" s="178">
        <v>0</v>
      </c>
    </row>
    <row r="78" spans="2:7" x14ac:dyDescent="0.2">
      <c r="B78" s="179"/>
      <c r="C78" s="119"/>
      <c r="D78" s="119"/>
      <c r="E78" s="177"/>
      <c r="F78" s="116"/>
      <c r="G78" s="178">
        <v>0</v>
      </c>
    </row>
    <row r="79" spans="2:7" x14ac:dyDescent="0.2">
      <c r="B79" s="179"/>
      <c r="C79" s="119"/>
      <c r="D79" s="119"/>
      <c r="E79" s="177"/>
      <c r="F79" s="116"/>
      <c r="G79" s="178">
        <v>0</v>
      </c>
    </row>
    <row r="80" spans="2:7" x14ac:dyDescent="0.2">
      <c r="B80" s="179"/>
      <c r="C80" s="119"/>
      <c r="D80" s="119"/>
      <c r="E80" s="177"/>
      <c r="F80" s="116"/>
      <c r="G80" s="178">
        <v>0</v>
      </c>
    </row>
    <row r="81" spans="2:14" x14ac:dyDescent="0.2">
      <c r="B81" s="183"/>
      <c r="C81" s="119"/>
      <c r="D81" s="119"/>
      <c r="E81" s="177"/>
      <c r="F81" s="116"/>
      <c r="G81" s="178">
        <v>0</v>
      </c>
    </row>
    <row r="82" spans="2:14" x14ac:dyDescent="0.2">
      <c r="B82" s="401"/>
      <c r="C82" s="402"/>
      <c r="D82" s="402"/>
      <c r="E82" s="180"/>
      <c r="F82" s="180"/>
      <c r="G82" s="181">
        <v>0</v>
      </c>
    </row>
    <row r="83" spans="2:14" x14ac:dyDescent="0.2">
      <c r="B83" s="167"/>
      <c r="G83" s="107"/>
    </row>
    <row r="84" spans="2:14" x14ac:dyDescent="0.2">
      <c r="F84" s="166" t="s">
        <v>170</v>
      </c>
      <c r="G84" s="106">
        <f>SUM(G68:G82)</f>
        <v>0</v>
      </c>
    </row>
    <row r="85" spans="2:14" x14ac:dyDescent="0.2">
      <c r="F85" s="166"/>
      <c r="G85" s="105"/>
    </row>
    <row r="86" spans="2:14" x14ac:dyDescent="0.2">
      <c r="B86" s="160" t="s">
        <v>172</v>
      </c>
      <c r="C86" s="162"/>
      <c r="D86" s="162"/>
      <c r="E86" s="161"/>
      <c r="F86" s="161"/>
      <c r="G86" s="108"/>
    </row>
    <row r="87" spans="2:14" x14ac:dyDescent="0.2">
      <c r="B87" s="164" t="s">
        <v>167</v>
      </c>
      <c r="C87" s="143"/>
      <c r="D87" s="143"/>
      <c r="E87" s="164"/>
      <c r="F87" s="164" t="s">
        <v>168</v>
      </c>
      <c r="G87" s="165" t="s">
        <v>169</v>
      </c>
    </row>
    <row r="88" spans="2:14" x14ac:dyDescent="0.2">
      <c r="G88" s="107"/>
    </row>
    <row r="89" spans="2:14" x14ac:dyDescent="0.2">
      <c r="B89" s="411" t="s">
        <v>259</v>
      </c>
      <c r="C89" s="412"/>
      <c r="D89" s="412"/>
      <c r="E89" s="174"/>
      <c r="F89" s="182"/>
      <c r="G89" s="176">
        <v>0</v>
      </c>
    </row>
    <row r="90" spans="2:14" ht="15" x14ac:dyDescent="0.2">
      <c r="B90" s="399" t="s">
        <v>264</v>
      </c>
      <c r="C90" s="400"/>
      <c r="D90" s="400"/>
      <c r="E90" s="177"/>
      <c r="F90" s="116"/>
      <c r="G90" s="178">
        <v>0</v>
      </c>
      <c r="N90" s="168"/>
    </row>
    <row r="91" spans="2:14" ht="15" x14ac:dyDescent="0.2">
      <c r="B91" s="399"/>
      <c r="C91" s="400"/>
      <c r="D91" s="400"/>
      <c r="E91" s="177"/>
      <c r="F91" s="116"/>
      <c r="G91" s="178">
        <v>0</v>
      </c>
      <c r="N91" s="168"/>
    </row>
    <row r="92" spans="2:14" ht="15" x14ac:dyDescent="0.2">
      <c r="B92" s="399"/>
      <c r="C92" s="400"/>
      <c r="D92" s="400"/>
      <c r="E92" s="177"/>
      <c r="F92" s="116"/>
      <c r="G92" s="178">
        <v>0</v>
      </c>
      <c r="N92" s="168"/>
    </row>
    <row r="93" spans="2:14" ht="15" x14ac:dyDescent="0.2">
      <c r="B93" s="399"/>
      <c r="C93" s="400"/>
      <c r="D93" s="400"/>
      <c r="E93" s="177"/>
      <c r="F93" s="116"/>
      <c r="G93" s="178">
        <v>0</v>
      </c>
      <c r="N93" s="168"/>
    </row>
    <row r="94" spans="2:14" ht="15" x14ac:dyDescent="0.2">
      <c r="B94" s="399"/>
      <c r="C94" s="400"/>
      <c r="D94" s="400"/>
      <c r="E94" s="177"/>
      <c r="F94" s="116"/>
      <c r="G94" s="178">
        <v>0</v>
      </c>
      <c r="N94" s="168"/>
    </row>
    <row r="95" spans="2:14" x14ac:dyDescent="0.2">
      <c r="B95" s="399"/>
      <c r="C95" s="400"/>
      <c r="D95" s="400"/>
      <c r="E95" s="177"/>
      <c r="F95" s="116"/>
      <c r="G95" s="178">
        <v>0</v>
      </c>
    </row>
    <row r="96" spans="2:14" x14ac:dyDescent="0.2">
      <c r="B96" s="399"/>
      <c r="C96" s="400"/>
      <c r="D96" s="400"/>
      <c r="E96" s="177"/>
      <c r="F96" s="116"/>
      <c r="G96" s="178">
        <v>0</v>
      </c>
    </row>
    <row r="97" spans="2:7" x14ac:dyDescent="0.2">
      <c r="B97" s="399"/>
      <c r="C97" s="400"/>
      <c r="D97" s="400"/>
      <c r="E97" s="177"/>
      <c r="F97" s="116"/>
      <c r="G97" s="178">
        <v>0</v>
      </c>
    </row>
    <row r="98" spans="2:7" x14ac:dyDescent="0.2">
      <c r="B98" s="401"/>
      <c r="C98" s="402"/>
      <c r="D98" s="402"/>
      <c r="E98" s="180"/>
      <c r="F98" s="180"/>
      <c r="G98" s="181">
        <v>0</v>
      </c>
    </row>
    <row r="99" spans="2:7" x14ac:dyDescent="0.2">
      <c r="B99" s="167"/>
      <c r="G99" s="107"/>
    </row>
    <row r="100" spans="2:7" x14ac:dyDescent="0.2">
      <c r="F100" s="166" t="s">
        <v>170</v>
      </c>
      <c r="G100" s="106">
        <f>SUM(G89:G98)</f>
        <v>0</v>
      </c>
    </row>
    <row r="101" spans="2:7" x14ac:dyDescent="0.2">
      <c r="G101" s="107"/>
    </row>
    <row r="102" spans="2:7" ht="14.25" customHeight="1" x14ac:dyDescent="0.2">
      <c r="B102" s="160" t="s">
        <v>173</v>
      </c>
      <c r="C102" s="162"/>
      <c r="D102" s="162"/>
      <c r="E102" s="161"/>
      <c r="F102" s="161"/>
      <c r="G102" s="108"/>
    </row>
    <row r="103" spans="2:7" x14ac:dyDescent="0.2">
      <c r="B103" s="164" t="s">
        <v>167</v>
      </c>
      <c r="C103" s="143"/>
      <c r="D103" s="143"/>
      <c r="E103" s="164"/>
      <c r="F103" s="164" t="s">
        <v>168</v>
      </c>
      <c r="G103" s="165" t="s">
        <v>169</v>
      </c>
    </row>
    <row r="104" spans="2:7" x14ac:dyDescent="0.2">
      <c r="G104" s="107"/>
    </row>
    <row r="105" spans="2:7" x14ac:dyDescent="0.2">
      <c r="B105" s="407" t="s">
        <v>251</v>
      </c>
      <c r="C105" s="408"/>
      <c r="D105" s="408"/>
      <c r="E105" s="174"/>
      <c r="F105" s="175"/>
      <c r="G105" s="176">
        <v>0</v>
      </c>
    </row>
    <row r="106" spans="2:7" x14ac:dyDescent="0.2">
      <c r="B106" s="405" t="s">
        <v>252</v>
      </c>
      <c r="C106" s="406"/>
      <c r="D106" s="406"/>
      <c r="E106" s="177"/>
      <c r="F106" s="116"/>
      <c r="G106" s="178">
        <v>0</v>
      </c>
    </row>
    <row r="107" spans="2:7" x14ac:dyDescent="0.2">
      <c r="B107" s="405" t="s">
        <v>253</v>
      </c>
      <c r="C107" s="406"/>
      <c r="D107" s="406"/>
      <c r="E107" s="177"/>
      <c r="F107" s="116"/>
      <c r="G107" s="178">
        <v>0</v>
      </c>
    </row>
    <row r="108" spans="2:7" x14ac:dyDescent="0.2">
      <c r="B108" s="179"/>
      <c r="C108" s="118"/>
      <c r="D108" s="118"/>
      <c r="E108" s="177"/>
      <c r="F108" s="116"/>
      <c r="G108" s="178">
        <v>0</v>
      </c>
    </row>
    <row r="109" spans="2:7" x14ac:dyDescent="0.2">
      <c r="B109" s="179"/>
      <c r="C109" s="118"/>
      <c r="D109" s="118"/>
      <c r="E109" s="177"/>
      <c r="F109" s="116"/>
      <c r="G109" s="178">
        <v>0</v>
      </c>
    </row>
    <row r="110" spans="2:7" x14ac:dyDescent="0.2">
      <c r="B110" s="179"/>
      <c r="C110" s="118"/>
      <c r="D110" s="118"/>
      <c r="E110" s="177"/>
      <c r="F110" s="116"/>
      <c r="G110" s="178">
        <v>0</v>
      </c>
    </row>
    <row r="111" spans="2:7" x14ac:dyDescent="0.2">
      <c r="B111" s="401"/>
      <c r="C111" s="402"/>
      <c r="D111" s="402"/>
      <c r="E111" s="180"/>
      <c r="F111" s="180"/>
      <c r="G111" s="181">
        <v>0</v>
      </c>
    </row>
    <row r="112" spans="2:7" x14ac:dyDescent="0.2">
      <c r="G112" s="105"/>
    </row>
    <row r="113" spans="2:7" x14ac:dyDescent="0.2">
      <c r="F113" s="166" t="s">
        <v>170</v>
      </c>
      <c r="G113" s="106">
        <f>SUM(G105:G111)</f>
        <v>0</v>
      </c>
    </row>
    <row r="114" spans="2:7" x14ac:dyDescent="0.2">
      <c r="G114" s="107"/>
    </row>
    <row r="115" spans="2:7" x14ac:dyDescent="0.2">
      <c r="B115" s="160" t="s">
        <v>174</v>
      </c>
      <c r="C115" s="162"/>
      <c r="D115" s="162"/>
      <c r="E115" s="161"/>
      <c r="F115" s="161"/>
      <c r="G115" s="108"/>
    </row>
    <row r="116" spans="2:7" x14ac:dyDescent="0.2">
      <c r="B116" s="164" t="s">
        <v>167</v>
      </c>
      <c r="C116" s="143"/>
      <c r="D116" s="143"/>
      <c r="E116" s="164"/>
      <c r="F116" s="164" t="s">
        <v>168</v>
      </c>
      <c r="G116" s="165" t="s">
        <v>169</v>
      </c>
    </row>
    <row r="117" spans="2:7" x14ac:dyDescent="0.2">
      <c r="G117" s="107"/>
    </row>
    <row r="118" spans="2:7" x14ac:dyDescent="0.2">
      <c r="B118" s="407" t="s">
        <v>212</v>
      </c>
      <c r="C118" s="408"/>
      <c r="D118" s="408"/>
      <c r="E118" s="174"/>
      <c r="F118" s="175"/>
      <c r="G118" s="176">
        <v>0</v>
      </c>
    </row>
    <row r="119" spans="2:7" x14ac:dyDescent="0.2">
      <c r="B119" s="405" t="s">
        <v>211</v>
      </c>
      <c r="C119" s="406"/>
      <c r="D119" s="406"/>
      <c r="E119" s="177"/>
      <c r="F119" s="116"/>
      <c r="G119" s="178">
        <v>0</v>
      </c>
    </row>
    <row r="120" spans="2:7" x14ac:dyDescent="0.2">
      <c r="B120" s="405" t="s">
        <v>203</v>
      </c>
      <c r="C120" s="406"/>
      <c r="D120" s="406"/>
      <c r="E120" s="177"/>
      <c r="F120" s="116"/>
      <c r="G120" s="178">
        <v>0</v>
      </c>
    </row>
    <row r="121" spans="2:7" x14ac:dyDescent="0.2">
      <c r="B121" s="179"/>
      <c r="C121" s="118"/>
      <c r="D121" s="118"/>
      <c r="E121" s="177"/>
      <c r="F121" s="116"/>
      <c r="G121" s="178">
        <v>0</v>
      </c>
    </row>
    <row r="122" spans="2:7" x14ac:dyDescent="0.2">
      <c r="B122" s="179"/>
      <c r="C122" s="118"/>
      <c r="D122" s="118"/>
      <c r="E122" s="177"/>
      <c r="F122" s="116"/>
      <c r="G122" s="178">
        <v>0</v>
      </c>
    </row>
    <row r="123" spans="2:7" x14ac:dyDescent="0.2">
      <c r="B123" s="179"/>
      <c r="C123" s="118"/>
      <c r="D123" s="118"/>
      <c r="E123" s="177"/>
      <c r="F123" s="116"/>
      <c r="G123" s="178">
        <v>0</v>
      </c>
    </row>
    <row r="124" spans="2:7" x14ac:dyDescent="0.2">
      <c r="B124" s="179"/>
      <c r="C124" s="118"/>
      <c r="D124" s="118"/>
      <c r="E124" s="177"/>
      <c r="F124" s="116"/>
      <c r="G124" s="178">
        <v>0</v>
      </c>
    </row>
    <row r="125" spans="2:7" x14ac:dyDescent="0.2">
      <c r="B125" s="179"/>
      <c r="C125" s="118"/>
      <c r="D125" s="118"/>
      <c r="E125" s="177"/>
      <c r="F125" s="116"/>
      <c r="G125" s="178">
        <v>0</v>
      </c>
    </row>
    <row r="126" spans="2:7" x14ac:dyDescent="0.2">
      <c r="B126" s="401"/>
      <c r="C126" s="402"/>
      <c r="D126" s="402"/>
      <c r="E126" s="180"/>
      <c r="F126" s="180"/>
      <c r="G126" s="181">
        <v>0</v>
      </c>
    </row>
    <row r="127" spans="2:7" x14ac:dyDescent="0.2">
      <c r="G127" s="105"/>
    </row>
    <row r="128" spans="2:7" x14ac:dyDescent="0.2">
      <c r="F128" s="166" t="s">
        <v>170</v>
      </c>
      <c r="G128" s="106">
        <f>SUM(G118:G126)</f>
        <v>0</v>
      </c>
    </row>
    <row r="129" spans="2:7" x14ac:dyDescent="0.2">
      <c r="G129" s="107"/>
    </row>
    <row r="130" spans="2:7" x14ac:dyDescent="0.2">
      <c r="B130" s="160" t="s">
        <v>255</v>
      </c>
      <c r="C130" s="162"/>
      <c r="D130" s="162"/>
      <c r="E130" s="161"/>
      <c r="F130" s="161"/>
      <c r="G130" s="108"/>
    </row>
    <row r="131" spans="2:7" x14ac:dyDescent="0.2">
      <c r="B131" s="164" t="s">
        <v>167</v>
      </c>
      <c r="C131" s="143"/>
      <c r="D131" s="143"/>
      <c r="E131" s="164"/>
      <c r="F131" s="164" t="s">
        <v>168</v>
      </c>
      <c r="G131" s="165" t="s">
        <v>169</v>
      </c>
    </row>
    <row r="132" spans="2:7" x14ac:dyDescent="0.2">
      <c r="G132" s="105"/>
    </row>
    <row r="133" spans="2:7" x14ac:dyDescent="0.2">
      <c r="B133" s="411"/>
      <c r="C133" s="412"/>
      <c r="D133" s="412"/>
      <c r="E133" s="174"/>
      <c r="F133" s="175"/>
      <c r="G133" s="176">
        <v>0</v>
      </c>
    </row>
    <row r="134" spans="2:7" x14ac:dyDescent="0.2">
      <c r="B134" s="399"/>
      <c r="C134" s="400"/>
      <c r="D134" s="400"/>
      <c r="E134" s="177"/>
      <c r="F134" s="116"/>
      <c r="G134" s="178">
        <v>0</v>
      </c>
    </row>
    <row r="135" spans="2:7" x14ac:dyDescent="0.2">
      <c r="B135" s="399"/>
      <c r="C135" s="400"/>
      <c r="D135" s="400"/>
      <c r="E135" s="177"/>
      <c r="F135" s="116"/>
      <c r="G135" s="178">
        <v>0</v>
      </c>
    </row>
    <row r="136" spans="2:7" x14ac:dyDescent="0.2">
      <c r="B136" s="401"/>
      <c r="C136" s="402"/>
      <c r="D136" s="402"/>
      <c r="E136" s="180"/>
      <c r="F136" s="180"/>
      <c r="G136" s="181">
        <v>0</v>
      </c>
    </row>
    <row r="137" spans="2:7" x14ac:dyDescent="0.2">
      <c r="G137" s="105"/>
    </row>
    <row r="138" spans="2:7" x14ac:dyDescent="0.2">
      <c r="F138" s="166" t="s">
        <v>170</v>
      </c>
      <c r="G138" s="106">
        <f>SUM(G133:G136)</f>
        <v>0</v>
      </c>
    </row>
    <row r="139" spans="2:7" ht="15" thickBot="1" x14ac:dyDescent="0.25">
      <c r="G139" s="107"/>
    </row>
    <row r="140" spans="2:7" ht="15" thickTop="1" x14ac:dyDescent="0.2">
      <c r="B140" s="156"/>
      <c r="C140" s="156" t="s">
        <v>352</v>
      </c>
      <c r="D140" s="156"/>
      <c r="G140" s="109">
        <f>G63+G84+G100+G113+G128+G138</f>
        <v>0</v>
      </c>
    </row>
    <row r="141" spans="2:7" x14ac:dyDescent="0.2">
      <c r="B141" s="156"/>
      <c r="C141" s="156"/>
      <c r="D141" s="156"/>
      <c r="G141" s="110"/>
    </row>
    <row r="142" spans="2:7" x14ac:dyDescent="0.2">
      <c r="B142" s="156" t="s">
        <v>339</v>
      </c>
      <c r="C142" s="158"/>
      <c r="D142" s="157"/>
      <c r="E142" s="157"/>
      <c r="F142" s="157"/>
      <c r="G142" s="111"/>
    </row>
    <row r="143" spans="2:7" x14ac:dyDescent="0.2">
      <c r="B143" s="139" t="s">
        <v>340</v>
      </c>
      <c r="C143" s="139" t="s">
        <v>352</v>
      </c>
      <c r="D143" s="157"/>
      <c r="E143" s="157"/>
      <c r="F143" s="157"/>
      <c r="G143" s="107">
        <f>G140</f>
        <v>0</v>
      </c>
    </row>
    <row r="144" spans="2:7" x14ac:dyDescent="0.2">
      <c r="B144" s="139" t="s">
        <v>341</v>
      </c>
      <c r="C144" s="139" t="s">
        <v>215</v>
      </c>
      <c r="D144" s="156"/>
      <c r="E144" s="169"/>
      <c r="F144" s="169"/>
      <c r="G144" s="338" t="str">
        <f>D10</f>
        <v>80%</v>
      </c>
    </row>
    <row r="145" spans="2:13" x14ac:dyDescent="0.2">
      <c r="B145" s="139" t="s">
        <v>342</v>
      </c>
      <c r="C145" s="139" t="s">
        <v>348</v>
      </c>
      <c r="D145" s="156"/>
      <c r="E145" s="156"/>
      <c r="F145" s="156"/>
      <c r="G145" s="112">
        <f>G140*G144</f>
        <v>0</v>
      </c>
    </row>
    <row r="146" spans="2:13" x14ac:dyDescent="0.2">
      <c r="G146" s="107"/>
    </row>
    <row r="147" spans="2:13" x14ac:dyDescent="0.2">
      <c r="B147" s="139" t="s">
        <v>343</v>
      </c>
      <c r="C147" s="139" t="s">
        <v>254</v>
      </c>
      <c r="D147" s="156"/>
      <c r="G147" s="107"/>
    </row>
    <row r="148" spans="2:13" x14ac:dyDescent="0.2">
      <c r="B148" s="352"/>
      <c r="C148" s="353"/>
      <c r="D148" s="353"/>
      <c r="E148" s="174"/>
      <c r="F148" s="174"/>
      <c r="G148" s="176">
        <v>0</v>
      </c>
      <c r="M148" s="170"/>
    </row>
    <row r="149" spans="2:13" x14ac:dyDescent="0.2">
      <c r="B149" s="403"/>
      <c r="C149" s="404"/>
      <c r="D149" s="404"/>
      <c r="E149" s="180"/>
      <c r="F149" s="180"/>
      <c r="G149" s="181">
        <v>0</v>
      </c>
    </row>
    <row r="150" spans="2:13" ht="15" thickBot="1" x14ac:dyDescent="0.25">
      <c r="B150" s="156"/>
      <c r="C150" s="384"/>
      <c r="D150" s="384"/>
      <c r="E150" s="384"/>
      <c r="F150" s="384"/>
      <c r="G150" s="113"/>
    </row>
    <row r="151" spans="2:13" ht="15" thickTop="1" x14ac:dyDescent="0.2">
      <c r="B151" s="139" t="s">
        <v>344</v>
      </c>
      <c r="C151" s="139" t="s">
        <v>349</v>
      </c>
      <c r="D151" s="156"/>
      <c r="E151" s="171"/>
      <c r="F151" s="172"/>
      <c r="G151" s="107">
        <f>(G145-G148-G149)</f>
        <v>0</v>
      </c>
    </row>
    <row r="152" spans="2:13" x14ac:dyDescent="0.2">
      <c r="C152" s="384"/>
      <c r="D152" s="384"/>
      <c r="E152" s="384"/>
      <c r="F152" s="384"/>
      <c r="G152" s="107"/>
    </row>
    <row r="153" spans="2:13" x14ac:dyDescent="0.2">
      <c r="B153" s="139" t="s">
        <v>353</v>
      </c>
      <c r="C153" s="139" t="s">
        <v>222</v>
      </c>
      <c r="D153" s="156"/>
      <c r="E153" s="156"/>
      <c r="F153" s="156"/>
      <c r="G153" s="299">
        <v>0</v>
      </c>
      <c r="I153" s="339" t="str">
        <f>IF(G153&gt;G151,"U vraagt meer subsidie aan dan de maximaal toegestane investeringssubsidie!","")</f>
        <v/>
      </c>
    </row>
    <row r="154" spans="2:13" x14ac:dyDescent="0.2">
      <c r="C154" s="384"/>
      <c r="D154" s="384"/>
      <c r="E154" s="384"/>
      <c r="F154" s="384"/>
    </row>
    <row r="155" spans="2:13" x14ac:dyDescent="0.2">
      <c r="B155" s="156" t="s">
        <v>345</v>
      </c>
      <c r="C155" s="158"/>
      <c r="D155" s="157"/>
      <c r="E155" s="158"/>
      <c r="F155" s="158"/>
      <c r="G155" s="114"/>
    </row>
    <row r="156" spans="2:13" x14ac:dyDescent="0.2">
      <c r="B156" s="139" t="s">
        <v>176</v>
      </c>
      <c r="C156" s="139" t="s">
        <v>350</v>
      </c>
      <c r="G156" s="107">
        <f>G140</f>
        <v>0</v>
      </c>
    </row>
    <row r="157" spans="2:13" x14ac:dyDescent="0.2">
      <c r="B157" s="139" t="s">
        <v>177</v>
      </c>
      <c r="C157" s="139" t="s">
        <v>351</v>
      </c>
      <c r="G157" s="107">
        <f>G148+G149</f>
        <v>0</v>
      </c>
    </row>
    <row r="158" spans="2:13" x14ac:dyDescent="0.2">
      <c r="B158" s="139" t="s">
        <v>178</v>
      </c>
      <c r="C158" s="139" t="s">
        <v>354</v>
      </c>
      <c r="G158" s="115">
        <f>G153</f>
        <v>0</v>
      </c>
    </row>
    <row r="159" spans="2:13" x14ac:dyDescent="0.2">
      <c r="B159" s="139" t="s">
        <v>179</v>
      </c>
      <c r="C159" s="139" t="s">
        <v>347</v>
      </c>
      <c r="G159" s="112">
        <f>G156-G157-G158</f>
        <v>0</v>
      </c>
    </row>
    <row r="160" spans="2:13" x14ac:dyDescent="0.2">
      <c r="C160" s="139" t="s">
        <v>325</v>
      </c>
      <c r="G160" s="112"/>
    </row>
    <row r="161" spans="2:13" ht="15" x14ac:dyDescent="0.2">
      <c r="B161" s="133"/>
      <c r="C161" s="383"/>
      <c r="D161" s="383"/>
      <c r="E161" s="383"/>
      <c r="F161" s="383"/>
      <c r="G161" s="133"/>
    </row>
    <row r="162" spans="2:13" ht="15" x14ac:dyDescent="0.2">
      <c r="B162" s="156" t="s">
        <v>346</v>
      </c>
      <c r="C162" s="157"/>
      <c r="D162" s="157"/>
      <c r="E162" s="157"/>
      <c r="F162" s="157"/>
      <c r="G162" s="157"/>
      <c r="H162" s="133"/>
      <c r="I162" s="133"/>
      <c r="J162" s="133"/>
      <c r="K162" s="133"/>
      <c r="L162" s="133"/>
      <c r="M162" s="133"/>
    </row>
    <row r="163" spans="2:13" ht="15" x14ac:dyDescent="0.2">
      <c r="B163" s="390"/>
      <c r="C163" s="391"/>
      <c r="D163" s="391"/>
      <c r="E163" s="391"/>
      <c r="F163" s="391"/>
      <c r="G163" s="392"/>
      <c r="H163" s="173"/>
      <c r="I163" s="173"/>
      <c r="J163" s="173"/>
      <c r="K163" s="173"/>
      <c r="L163" s="173"/>
      <c r="M163" s="173"/>
    </row>
    <row r="164" spans="2:13" ht="14.25" customHeight="1" x14ac:dyDescent="0.2">
      <c r="B164" s="393"/>
      <c r="C164" s="394"/>
      <c r="D164" s="394"/>
      <c r="E164" s="394"/>
      <c r="F164" s="394"/>
      <c r="G164" s="395"/>
    </row>
    <row r="165" spans="2:13" ht="14.25" customHeight="1" x14ac:dyDescent="0.2">
      <c r="B165" s="393"/>
      <c r="C165" s="394"/>
      <c r="D165" s="394"/>
      <c r="E165" s="394"/>
      <c r="F165" s="394"/>
      <c r="G165" s="395"/>
    </row>
    <row r="166" spans="2:13" ht="14.25" customHeight="1" x14ac:dyDescent="0.2">
      <c r="B166" s="393"/>
      <c r="C166" s="394"/>
      <c r="D166" s="394"/>
      <c r="E166" s="394"/>
      <c r="F166" s="394"/>
      <c r="G166" s="395"/>
    </row>
    <row r="167" spans="2:13" ht="14.25" customHeight="1" x14ac:dyDescent="0.2">
      <c r="B167" s="393"/>
      <c r="C167" s="394"/>
      <c r="D167" s="394"/>
      <c r="E167" s="394"/>
      <c r="F167" s="394"/>
      <c r="G167" s="395"/>
    </row>
    <row r="168" spans="2:13" ht="14.25" customHeight="1" x14ac:dyDescent="0.2">
      <c r="B168" s="393"/>
      <c r="C168" s="394"/>
      <c r="D168" s="394"/>
      <c r="E168" s="394"/>
      <c r="F168" s="394"/>
      <c r="G168" s="395"/>
    </row>
    <row r="169" spans="2:13" ht="14.25" customHeight="1" x14ac:dyDescent="0.2">
      <c r="B169" s="393"/>
      <c r="C169" s="394"/>
      <c r="D169" s="394"/>
      <c r="E169" s="394"/>
      <c r="F169" s="394"/>
      <c r="G169" s="395"/>
    </row>
    <row r="170" spans="2:13" ht="14.25" customHeight="1" x14ac:dyDescent="0.2">
      <c r="B170" s="393"/>
      <c r="C170" s="394"/>
      <c r="D170" s="394"/>
      <c r="E170" s="394"/>
      <c r="F170" s="394"/>
      <c r="G170" s="395"/>
    </row>
    <row r="171" spans="2:13" ht="14.25" customHeight="1" x14ac:dyDescent="0.2">
      <c r="B171" s="393"/>
      <c r="C171" s="394"/>
      <c r="D171" s="394"/>
      <c r="E171" s="394"/>
      <c r="F171" s="394"/>
      <c r="G171" s="395"/>
    </row>
    <row r="172" spans="2:13" ht="14.25" customHeight="1" x14ac:dyDescent="0.2">
      <c r="B172" s="393"/>
      <c r="C172" s="394"/>
      <c r="D172" s="394"/>
      <c r="E172" s="394"/>
      <c r="F172" s="394"/>
      <c r="G172" s="395"/>
    </row>
    <row r="173" spans="2:13" ht="14.25" customHeight="1" x14ac:dyDescent="0.2">
      <c r="B173" s="393"/>
      <c r="C173" s="394"/>
      <c r="D173" s="394"/>
      <c r="E173" s="394"/>
      <c r="F173" s="394"/>
      <c r="G173" s="395"/>
    </row>
    <row r="174" spans="2:13" ht="14.25" customHeight="1" x14ac:dyDescent="0.2">
      <c r="B174" s="393"/>
      <c r="C174" s="394"/>
      <c r="D174" s="394"/>
      <c r="E174" s="394"/>
      <c r="F174" s="394"/>
      <c r="G174" s="395"/>
    </row>
    <row r="175" spans="2:13" ht="14.25" customHeight="1" x14ac:dyDescent="0.2">
      <c r="B175" s="393"/>
      <c r="C175" s="394"/>
      <c r="D175" s="394"/>
      <c r="E175" s="394"/>
      <c r="F175" s="394"/>
      <c r="G175" s="395"/>
    </row>
    <row r="176" spans="2:13" ht="14.25" customHeight="1" x14ac:dyDescent="0.2">
      <c r="B176" s="393"/>
      <c r="C176" s="394"/>
      <c r="D176" s="394"/>
      <c r="E176" s="394"/>
      <c r="F176" s="394"/>
      <c r="G176" s="395"/>
    </row>
    <row r="177" spans="2:7" ht="14.25" customHeight="1" x14ac:dyDescent="0.2">
      <c r="B177" s="393"/>
      <c r="C177" s="394"/>
      <c r="D177" s="394"/>
      <c r="E177" s="394"/>
      <c r="F177" s="394"/>
      <c r="G177" s="395"/>
    </row>
    <row r="178" spans="2:7" ht="14.25" customHeight="1" x14ac:dyDescent="0.2">
      <c r="B178" s="393"/>
      <c r="C178" s="394"/>
      <c r="D178" s="394"/>
      <c r="E178" s="394"/>
      <c r="F178" s="394"/>
      <c r="G178" s="395"/>
    </row>
    <row r="179" spans="2:7" ht="14.25" customHeight="1" x14ac:dyDescent="0.2">
      <c r="B179" s="393"/>
      <c r="C179" s="394"/>
      <c r="D179" s="394"/>
      <c r="E179" s="394"/>
      <c r="F179" s="394"/>
      <c r="G179" s="395"/>
    </row>
    <row r="180" spans="2:7" ht="14.25" customHeight="1" x14ac:dyDescent="0.2">
      <c r="B180" s="393"/>
      <c r="C180" s="394"/>
      <c r="D180" s="394"/>
      <c r="E180" s="394"/>
      <c r="F180" s="394"/>
      <c r="G180" s="395"/>
    </row>
    <row r="181" spans="2:7" ht="14.25" customHeight="1" x14ac:dyDescent="0.2">
      <c r="B181" s="393"/>
      <c r="C181" s="394"/>
      <c r="D181" s="394"/>
      <c r="E181" s="394"/>
      <c r="F181" s="394"/>
      <c r="G181" s="395"/>
    </row>
    <row r="182" spans="2:7" ht="14.25" customHeight="1" x14ac:dyDescent="0.2">
      <c r="B182" s="393"/>
      <c r="C182" s="394"/>
      <c r="D182" s="394"/>
      <c r="E182" s="394"/>
      <c r="F182" s="394"/>
      <c r="G182" s="395"/>
    </row>
    <row r="183" spans="2:7" ht="14.25" customHeight="1" x14ac:dyDescent="0.2">
      <c r="B183" s="393"/>
      <c r="C183" s="394"/>
      <c r="D183" s="394"/>
      <c r="E183" s="394"/>
      <c r="F183" s="394"/>
      <c r="G183" s="395"/>
    </row>
    <row r="184" spans="2:7" ht="14.25" customHeight="1" x14ac:dyDescent="0.2">
      <c r="B184" s="393"/>
      <c r="C184" s="394"/>
      <c r="D184" s="394"/>
      <c r="E184" s="394"/>
      <c r="F184" s="394"/>
      <c r="G184" s="395"/>
    </row>
    <row r="185" spans="2:7" ht="15" customHeight="1" x14ac:dyDescent="0.2">
      <c r="B185" s="396"/>
      <c r="C185" s="397"/>
      <c r="D185" s="397"/>
      <c r="E185" s="397"/>
      <c r="F185" s="397"/>
      <c r="G185" s="398"/>
    </row>
    <row r="186" spans="2:7" ht="14.25" customHeight="1" x14ac:dyDescent="0.2"/>
    <row r="187" spans="2:7" ht="14.25" customHeight="1" x14ac:dyDescent="0.2"/>
  </sheetData>
  <sheetProtection algorithmName="SHA-512" hashValue="dTOm5HgStK1QGikVWdx3QhUoH2MIeRa4ORs7px0SiMxmqGRvfobhNlUCVbWauE0NhjGQuLGemfw7i5dqu/FD/A==" saltValue="aWsbsL3bDsAyi4YgcsboCg==" spinCount="100000" sheet="1" objects="1" scenarios="1"/>
  <mergeCells count="71">
    <mergeCell ref="D24:E24"/>
    <mergeCell ref="D26:E26"/>
    <mergeCell ref="D25:E25"/>
    <mergeCell ref="D4:E4"/>
    <mergeCell ref="C12:G12"/>
    <mergeCell ref="D21:E21"/>
    <mergeCell ref="D14:E14"/>
    <mergeCell ref="D5:G5"/>
    <mergeCell ref="D10:E10"/>
    <mergeCell ref="D9:G9"/>
    <mergeCell ref="D20:E20"/>
    <mergeCell ref="D19:E19"/>
    <mergeCell ref="D15:E15"/>
    <mergeCell ref="D16:E16"/>
    <mergeCell ref="D6:E6"/>
    <mergeCell ref="D7:G7"/>
    <mergeCell ref="B61:D61"/>
    <mergeCell ref="B55:D55"/>
    <mergeCell ref="B56:D56"/>
    <mergeCell ref="B57:D57"/>
    <mergeCell ref="B58:D58"/>
    <mergeCell ref="B59:D59"/>
    <mergeCell ref="B60:D60"/>
    <mergeCell ref="B91:D91"/>
    <mergeCell ref="B92:D92"/>
    <mergeCell ref="B54:D54"/>
    <mergeCell ref="D29:E29"/>
    <mergeCell ref="D34:E34"/>
    <mergeCell ref="D30:E30"/>
    <mergeCell ref="D31:E31"/>
    <mergeCell ref="D35:E35"/>
    <mergeCell ref="D41:E41"/>
    <mergeCell ref="D39:E39"/>
    <mergeCell ref="D45:E45"/>
    <mergeCell ref="D44:E44"/>
    <mergeCell ref="D43:E43"/>
    <mergeCell ref="D40:E40"/>
    <mergeCell ref="D38:E38"/>
    <mergeCell ref="D42:E42"/>
    <mergeCell ref="B90:D90"/>
    <mergeCell ref="B68:D68"/>
    <mergeCell ref="B69:D69"/>
    <mergeCell ref="B70:D70"/>
    <mergeCell ref="B71:D71"/>
    <mergeCell ref="B72:D72"/>
    <mergeCell ref="B73:D73"/>
    <mergeCell ref="B74:D74"/>
    <mergeCell ref="B75:D75"/>
    <mergeCell ref="B82:D82"/>
    <mergeCell ref="B89:D89"/>
    <mergeCell ref="B120:D120"/>
    <mergeCell ref="B126:D126"/>
    <mergeCell ref="B105:D105"/>
    <mergeCell ref="D36:E36"/>
    <mergeCell ref="B133:D133"/>
    <mergeCell ref="B106:D106"/>
    <mergeCell ref="B107:D107"/>
    <mergeCell ref="B111:D111"/>
    <mergeCell ref="B93:D93"/>
    <mergeCell ref="B94:D94"/>
    <mergeCell ref="B95:D95"/>
    <mergeCell ref="B118:D118"/>
    <mergeCell ref="B119:D119"/>
    <mergeCell ref="B96:D96"/>
    <mergeCell ref="B97:D97"/>
    <mergeCell ref="B98:D98"/>
    <mergeCell ref="B163:G185"/>
    <mergeCell ref="B134:D134"/>
    <mergeCell ref="B135:D135"/>
    <mergeCell ref="B136:D136"/>
    <mergeCell ref="B149:D149"/>
  </mergeCells>
  <phoneticPr fontId="72" type="noConversion"/>
  <conditionalFormatting sqref="D41">
    <cfRule type="expression" dxfId="236" priority="2">
      <formula>D41&gt;9</formula>
    </cfRule>
  </conditionalFormatting>
  <conditionalFormatting sqref="D42:E42">
    <cfRule type="expression" dxfId="235" priority="1">
      <formula>D42&gt;499165000</formula>
    </cfRule>
  </conditionalFormatting>
  <conditionalFormatting sqref="G153">
    <cfRule type="cellIs" dxfId="234" priority="4" stopIfTrue="1" operator="lessThan">
      <formula>1</formula>
    </cfRule>
  </conditionalFormatting>
  <dataValidations count="4">
    <dataValidation type="whole" allowBlank="1" showInputMessage="1" showErrorMessage="1" error="Let op: De maximum subsidie mag niet meer dan bedragen dan de maximale subsidie (B5)." sqref="G153" xr:uid="{522BE980-D49D-4A13-B6E8-CFF75B97AAC4}">
      <formula1>0</formula1>
      <formula2>G151</formula2>
    </dataValidation>
    <dataValidation type="whole" allowBlank="1" showInputMessage="1" showErrorMessage="1" error="U moet hier een geheel aantal jaren invullen (minimaal het aantal jaren van de subsidie-exploitatielooptijd en maximaal 10 jaar)" sqref="D39:E39" xr:uid="{740E7011-F338-484C-A79D-5C96A6003B37}">
      <formula1>D38</formula1>
      <formula2>15</formula2>
    </dataValidation>
    <dataValidation type="whole" allowBlank="1" showInputMessage="1" showErrorMessage="1" error="U moet hier een geheel aantal jaren invullen (minimaal 5 jaar en maximaal 10 jaar)_x000a_" sqref="D38:E38" xr:uid="{7EBB177C-B5E9-4662-B99B-79060B0C407B}">
      <formula1>5</formula1>
      <formula2>10</formula2>
    </dataValidation>
    <dataValidation type="decimal" operator="greaterThan" allowBlank="1" showInputMessage="1" showErrorMessage="1" error="De productprijs moet hoger zijn dan 1,7997 euro/kg H2." sqref="D40:E40" xr:uid="{1A0F02DB-8DF2-4012-AC67-A2B6AC9D5698}">
      <formula1>1.7997</formula1>
    </dataValidation>
  </dataValidations>
  <pageMargins left="0.25" right="0.25" top="0.75" bottom="0.75" header="0.3" footer="0.3"/>
  <pageSetup paperSize="9" scale="50" fitToHeight="0" orientation="portrait" r:id="rId1"/>
  <rowBreaks count="2" manualBreakCount="2">
    <brk id="101" min="1" max="6" man="1"/>
    <brk id="190" max="7" man="1"/>
  </rowBreaks>
  <colBreaks count="1" manualBreakCount="1">
    <brk id="7" max="1048575" man="1"/>
  </colBreaks>
  <ignoredErrors>
    <ignoredError sqref="D16 D2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9" r:id="rId4" name="List Box 9">
              <controlPr defaultSize="0" autoLine="0" autoPict="0">
                <anchor moveWithCells="1">
                  <from>
                    <xdr:col>3</xdr:col>
                    <xdr:colOff>0</xdr:colOff>
                    <xdr:row>5</xdr:row>
                    <xdr:rowOff>85725</xdr:rowOff>
                  </from>
                  <to>
                    <xdr:col>5</xdr:col>
                    <xdr:colOff>0</xdr:colOff>
                    <xdr:row>5</xdr:row>
                    <xdr:rowOff>400050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FC90CAC-4027-4CD9-9A75-451E90445207}">
          <x14:formula1>
            <xm:f>Hulpblad_categorieën_parameters!$B$2:$B$4</xm:f>
          </x14:formula1>
          <xm:sqref>C12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41E9F-4252-4B71-AA97-9D0EEE84FB59}">
  <sheetPr>
    <pageSetUpPr fitToPage="1"/>
  </sheetPr>
  <dimension ref="A1:Q37"/>
  <sheetViews>
    <sheetView showGridLines="0" zoomScaleNormal="100" workbookViewId="0">
      <selection activeCell="B21" sqref="B21:M37"/>
    </sheetView>
  </sheetViews>
  <sheetFormatPr defaultColWidth="9.140625" defaultRowHeight="12.75" x14ac:dyDescent="0.2"/>
  <cols>
    <col min="1" max="1" width="4.85546875" style="130" customWidth="1"/>
    <col min="2" max="2" width="35.7109375" style="130" bestFit="1" customWidth="1"/>
    <col min="3" max="13" width="12.7109375" style="130" customWidth="1"/>
    <col min="14" max="16" width="9.140625" style="130"/>
    <col min="17" max="17" width="16" style="130" customWidth="1"/>
    <col min="18" max="16384" width="9.140625" style="130"/>
  </cols>
  <sheetData>
    <row r="1" spans="1:17" ht="18" x14ac:dyDescent="0.25">
      <c r="A1" s="184"/>
      <c r="B1" s="138" t="s">
        <v>155</v>
      </c>
      <c r="C1" s="138"/>
      <c r="D1" s="121"/>
      <c r="E1" s="185"/>
      <c r="F1" s="185"/>
      <c r="G1" s="186"/>
      <c r="H1" s="186"/>
      <c r="I1" s="186"/>
      <c r="J1" s="186"/>
      <c r="K1" s="186"/>
      <c r="L1" s="186"/>
      <c r="M1" s="129"/>
    </row>
    <row r="2" spans="1:17" ht="24" customHeight="1" x14ac:dyDescent="0.25">
      <c r="A2" s="184"/>
      <c r="B2" s="187" t="s">
        <v>159</v>
      </c>
      <c r="C2" s="459">
        <f>'Proj.gegevens_invest.begroting'!D4</f>
        <v>0</v>
      </c>
      <c r="D2" s="460"/>
      <c r="E2" s="189"/>
      <c r="F2" s="189"/>
      <c r="G2" s="185"/>
      <c r="H2" s="185"/>
      <c r="I2" s="185"/>
      <c r="J2" s="185"/>
      <c r="K2" s="185"/>
      <c r="L2" s="186"/>
      <c r="M2" s="129"/>
    </row>
    <row r="3" spans="1:17" ht="19.5" customHeight="1" x14ac:dyDescent="0.2">
      <c r="E3" s="188"/>
      <c r="F3" s="188"/>
    </row>
    <row r="4" spans="1:17" ht="19.5" customHeight="1" x14ac:dyDescent="0.2">
      <c r="A4" s="121"/>
      <c r="B4" s="184"/>
      <c r="C4" s="184"/>
      <c r="D4" s="129"/>
      <c r="E4" s="129"/>
      <c r="F4" s="129"/>
      <c r="G4" s="129"/>
      <c r="H4" s="129"/>
      <c r="I4" s="129"/>
      <c r="J4" s="129"/>
      <c r="K4" s="312"/>
    </row>
    <row r="5" spans="1:17" ht="19.5" customHeight="1" x14ac:dyDescent="0.2">
      <c r="A5" s="121"/>
      <c r="B5" s="184"/>
      <c r="C5" s="184"/>
      <c r="D5" s="129"/>
      <c r="E5" s="129"/>
      <c r="F5" s="129"/>
      <c r="G5" s="129"/>
      <c r="H5" s="129"/>
      <c r="I5" s="129"/>
      <c r="J5" s="129"/>
    </row>
    <row r="6" spans="1:17" ht="19.5" customHeight="1" x14ac:dyDescent="0.2">
      <c r="A6" s="121"/>
      <c r="B6" s="184"/>
      <c r="C6" s="184"/>
      <c r="D6" s="129"/>
      <c r="E6" s="129"/>
      <c r="F6" s="129"/>
      <c r="G6" s="129"/>
      <c r="H6" s="129"/>
      <c r="I6" s="129"/>
      <c r="J6" s="129"/>
      <c r="O6" s="121"/>
    </row>
    <row r="7" spans="1:17" ht="19.5" customHeight="1" x14ac:dyDescent="0.2">
      <c r="A7" s="121"/>
      <c r="B7" s="184"/>
      <c r="C7" s="184"/>
      <c r="D7" s="129"/>
      <c r="E7" s="129"/>
      <c r="F7" s="129"/>
      <c r="G7" s="129"/>
      <c r="H7" s="129"/>
      <c r="I7" s="129"/>
      <c r="J7" s="129"/>
      <c r="O7" s="121"/>
    </row>
    <row r="8" spans="1:17" ht="19.5" customHeight="1" x14ac:dyDescent="0.2">
      <c r="A8" s="121"/>
      <c r="B8" s="184"/>
      <c r="C8" s="184"/>
      <c r="D8" s="129"/>
      <c r="E8" s="129"/>
      <c r="F8" s="129"/>
      <c r="G8" s="129"/>
      <c r="H8" s="129"/>
      <c r="I8" s="129"/>
      <c r="J8" s="129"/>
      <c r="K8" s="129"/>
      <c r="L8" s="129"/>
      <c r="M8" s="121"/>
    </row>
    <row r="9" spans="1:17" ht="19.5" customHeight="1" x14ac:dyDescent="0.2">
      <c r="A9" s="121"/>
      <c r="B9" s="184"/>
      <c r="C9" s="184"/>
      <c r="D9" s="129"/>
      <c r="E9" s="129"/>
      <c r="F9" s="129"/>
      <c r="G9" s="129"/>
      <c r="H9" s="129"/>
      <c r="I9" s="129"/>
      <c r="J9" s="129"/>
      <c r="K9" s="129"/>
      <c r="L9" s="129"/>
      <c r="M9" s="121"/>
    </row>
    <row r="10" spans="1:17" ht="19.5" customHeight="1" x14ac:dyDescent="0.25">
      <c r="A10" s="186"/>
      <c r="B10" s="190"/>
      <c r="C10" s="190"/>
      <c r="D10" s="191"/>
      <c r="E10" s="191"/>
      <c r="F10" s="191"/>
      <c r="G10" s="191"/>
      <c r="H10" s="191"/>
      <c r="I10" s="191"/>
      <c r="J10" s="191"/>
      <c r="K10" s="191"/>
      <c r="L10" s="191"/>
      <c r="M10" s="191"/>
    </row>
    <row r="11" spans="1:17" ht="19.5" customHeight="1" x14ac:dyDescent="0.2">
      <c r="A11" s="121"/>
      <c r="B11" s="192"/>
      <c r="C11" s="192"/>
      <c r="D11" s="129"/>
      <c r="E11" s="129"/>
      <c r="F11" s="129"/>
      <c r="G11" s="129"/>
      <c r="H11" s="129"/>
      <c r="I11" s="129"/>
      <c r="J11" s="129"/>
      <c r="K11" s="129"/>
      <c r="L11" s="129"/>
      <c r="M11" s="121"/>
    </row>
    <row r="12" spans="1:17" ht="19.5" customHeight="1" x14ac:dyDescent="0.2">
      <c r="A12" s="121"/>
      <c r="B12" s="192"/>
      <c r="C12" s="192"/>
      <c r="D12" s="129"/>
      <c r="E12" s="129"/>
      <c r="F12" s="129"/>
      <c r="G12" s="129"/>
      <c r="H12" s="129"/>
      <c r="I12" s="129"/>
      <c r="J12" s="129"/>
      <c r="K12" s="129"/>
      <c r="L12" s="129"/>
      <c r="M12" s="121"/>
    </row>
    <row r="13" spans="1:17" ht="19.5" customHeight="1" x14ac:dyDescent="0.2">
      <c r="A13" s="121"/>
      <c r="B13" s="193" t="str">
        <f>IF(M16&gt;'Proj.gegevens_invest.begroting'!G143,"De totale kosten per mijlpaal zijn hoger dan opgegeven in de investeringsbegroting","" )</f>
        <v/>
      </c>
      <c r="C13" s="192"/>
      <c r="D13" s="129"/>
      <c r="E13" s="129"/>
      <c r="F13" s="129"/>
      <c r="G13" s="129"/>
      <c r="H13" s="129"/>
      <c r="I13" s="129"/>
      <c r="J13" s="129"/>
      <c r="K13" s="129"/>
      <c r="L13" s="129"/>
      <c r="M13" s="121"/>
    </row>
    <row r="14" spans="1:17" ht="15" x14ac:dyDescent="0.2">
      <c r="A14" s="121"/>
      <c r="B14" s="193"/>
      <c r="C14" s="129">
        <v>1</v>
      </c>
      <c r="D14" s="129">
        <v>2</v>
      </c>
      <c r="E14" s="129">
        <v>3</v>
      </c>
      <c r="F14" s="129">
        <v>4</v>
      </c>
      <c r="G14" s="129">
        <v>5</v>
      </c>
      <c r="H14" s="129">
        <v>6</v>
      </c>
      <c r="I14" s="129">
        <v>7</v>
      </c>
      <c r="J14" s="129">
        <v>8</v>
      </c>
      <c r="K14" s="129">
        <v>9</v>
      </c>
      <c r="L14" s="129">
        <v>10</v>
      </c>
      <c r="M14" s="121"/>
    </row>
    <row r="15" spans="1:17" ht="34.5" customHeight="1" x14ac:dyDescent="0.2">
      <c r="A15" s="121"/>
      <c r="B15" s="194" t="s">
        <v>180</v>
      </c>
      <c r="C15" s="195" t="s">
        <v>181</v>
      </c>
      <c r="D15" s="195" t="s">
        <v>182</v>
      </c>
      <c r="E15" s="195" t="s">
        <v>183</v>
      </c>
      <c r="F15" s="195" t="s">
        <v>184</v>
      </c>
      <c r="G15" s="195" t="s">
        <v>185</v>
      </c>
      <c r="H15" s="195" t="s">
        <v>186</v>
      </c>
      <c r="I15" s="195" t="s">
        <v>187</v>
      </c>
      <c r="J15" s="195" t="s">
        <v>188</v>
      </c>
      <c r="K15" s="195" t="s">
        <v>189</v>
      </c>
      <c r="L15" s="195" t="s">
        <v>190</v>
      </c>
      <c r="M15" s="196" t="s">
        <v>191</v>
      </c>
    </row>
    <row r="16" spans="1:17" ht="23.25" x14ac:dyDescent="0.2">
      <c r="A16" s="121"/>
      <c r="B16" s="197" t="s">
        <v>192</v>
      </c>
      <c r="C16" s="98">
        <v>0</v>
      </c>
      <c r="D16" s="98"/>
      <c r="E16" s="98"/>
      <c r="F16" s="98"/>
      <c r="G16" s="99"/>
      <c r="H16" s="99"/>
      <c r="I16" s="99"/>
      <c r="J16" s="99"/>
      <c r="K16" s="99"/>
      <c r="L16" s="99"/>
      <c r="M16" s="209">
        <f>SUM(C16:L16)</f>
        <v>0</v>
      </c>
      <c r="N16" s="198" t="str">
        <f>IF(M16='Proj.gegevens_invest.begroting'!G140,"","Let op: Het investeringsbedrag komt (nog) niet overeen met uw opgave op het tabblad Investeringsbegroting")</f>
        <v/>
      </c>
      <c r="O16" s="199"/>
      <c r="Q16" s="200"/>
    </row>
    <row r="17" spans="1:17" x14ac:dyDescent="0.2">
      <c r="A17" s="121"/>
      <c r="B17" s="197" t="s">
        <v>193</v>
      </c>
      <c r="C17" s="326" t="e">
        <f>IF(C16="","",((C16/'Proj.gegevens_invest.begroting'!$G$143)*'Proj.gegevens_invest.begroting'!$G$153)*0.9)</f>
        <v>#DIV/0!</v>
      </c>
      <c r="D17" s="326" t="str">
        <f>IF(D16="","",((D16/'Proj.gegevens_invest.begroting'!$G$143)*'Proj.gegevens_invest.begroting'!$G$153)*0.9)</f>
        <v/>
      </c>
      <c r="E17" s="326" t="str">
        <f>IF(E16="","",((E16/'Proj.gegevens_invest.begroting'!$G$143)*'Proj.gegevens_invest.begroting'!$G$153)*0.9)</f>
        <v/>
      </c>
      <c r="F17" s="326" t="str">
        <f>IF(F16="","",((F16/'Proj.gegevens_invest.begroting'!$G$143)*'Proj.gegevens_invest.begroting'!$G$153)*0.9)</f>
        <v/>
      </c>
      <c r="G17" s="326" t="str">
        <f>IF(G16="","",((G16/'Proj.gegevens_invest.begroting'!$G$143)*'Proj.gegevens_invest.begroting'!$G$153)*0.9)</f>
        <v/>
      </c>
      <c r="H17" s="326" t="str">
        <f>IF(H16="","",((H16/'Proj.gegevens_invest.begroting'!$G$143)*'Proj.gegevens_invest.begroting'!$G$153)*0.9)</f>
        <v/>
      </c>
      <c r="I17" s="326" t="str">
        <f>IF(I16="","",((I16/'Proj.gegevens_invest.begroting'!$G$143)*'Proj.gegevens_invest.begroting'!$G$153)*0.9)</f>
        <v/>
      </c>
      <c r="J17" s="326" t="str">
        <f>IF(J16="","",((J16/'Proj.gegevens_invest.begroting'!$G$143)*'Proj.gegevens_invest.begroting'!$G$153)*0.9)</f>
        <v/>
      </c>
      <c r="K17" s="326" t="str">
        <f>IF(K16="","",((K16/'Proj.gegevens_invest.begroting'!$G$143)*'Proj.gegevens_invest.begroting'!$G$153)*0.9)</f>
        <v/>
      </c>
      <c r="L17" s="326" t="str">
        <f>IF(L16="","",((L16/'Proj.gegevens_invest.begroting'!$G$143)*'Proj.gegevens_invest.begroting'!$G$153)*0.9)</f>
        <v/>
      </c>
      <c r="M17" s="327" t="e">
        <f>SUM(C17:L17)</f>
        <v>#DIV/0!</v>
      </c>
      <c r="O17" s="121"/>
    </row>
    <row r="18" spans="1:17" x14ac:dyDescent="0.2">
      <c r="A18" s="121"/>
      <c r="B18" s="197" t="s">
        <v>194</v>
      </c>
      <c r="C18" s="328">
        <f>IF('Proj.gegevens_invest.begroting'!D44&gt;0,'Proj.gegevens_invest.begroting'!D44,"")</f>
        <v>36678</v>
      </c>
      <c r="D18" s="328" t="str">
        <f>IF(C19="","",IF(C19&lt;'Proj.gegevens_invest.begroting'!$D$45,C19+1,""))</f>
        <v/>
      </c>
      <c r="E18" s="328" t="str">
        <f>IF(D19="","",IF(D19&lt;'Proj.gegevens_invest.begroting'!$D$45,D19+1,""))</f>
        <v/>
      </c>
      <c r="F18" s="328" t="str">
        <f>IF(E19="","",IF(E19&lt;'Proj.gegevens_invest.begroting'!$D$45,E19+1,""))</f>
        <v/>
      </c>
      <c r="G18" s="328" t="str">
        <f>IF(F19="","",IF(F19&lt;'Proj.gegevens_invest.begroting'!$D$45,F19+1,""))</f>
        <v/>
      </c>
      <c r="H18" s="328" t="str">
        <f>IF(G19="","",IF(G19&lt;'Proj.gegevens_invest.begroting'!$D$45,G19+1,""))</f>
        <v/>
      </c>
      <c r="I18" s="328" t="str">
        <f>IF(H19="","",IF(H19&lt;'Proj.gegevens_invest.begroting'!$D$45,H19+1,""))</f>
        <v/>
      </c>
      <c r="J18" s="328" t="str">
        <f>IF(I19="","",IF(I19&lt;'Proj.gegevens_invest.begroting'!$D$45,I19+1,""))</f>
        <v/>
      </c>
      <c r="K18" s="328" t="str">
        <f>IF(J19="","",IF(J19&lt;'Proj.gegevens_invest.begroting'!$D$45,J19+1,""))</f>
        <v/>
      </c>
      <c r="L18" s="328" t="str">
        <f>IF(K19="","",IF(K19&lt;'Proj.gegevens_invest.begroting'!$D$45,K19+1,""))</f>
        <v/>
      </c>
      <c r="M18" s="329"/>
    </row>
    <row r="19" spans="1:17" x14ac:dyDescent="0.2">
      <c r="A19" s="121"/>
      <c r="B19" s="201" t="s">
        <v>195</v>
      </c>
      <c r="C19" s="100"/>
      <c r="D19" s="100"/>
      <c r="E19" s="100"/>
      <c r="F19" s="100"/>
      <c r="G19" s="100"/>
      <c r="H19" s="100"/>
      <c r="I19" s="100"/>
      <c r="J19" s="100"/>
      <c r="K19" s="100"/>
      <c r="L19" s="100"/>
      <c r="M19" s="210"/>
    </row>
    <row r="20" spans="1:17" ht="20.25" x14ac:dyDescent="0.3">
      <c r="A20" s="121"/>
      <c r="B20" s="202" t="s">
        <v>196</v>
      </c>
      <c r="C20" s="203"/>
      <c r="D20" s="204"/>
      <c r="E20" s="205"/>
      <c r="F20" s="206"/>
      <c r="G20" s="207"/>
      <c r="H20" s="207"/>
      <c r="I20" s="207"/>
      <c r="J20" s="207"/>
      <c r="K20" s="207"/>
      <c r="L20" s="207"/>
      <c r="M20" s="208"/>
      <c r="Q20" s="200"/>
    </row>
    <row r="21" spans="1:17" x14ac:dyDescent="0.2">
      <c r="A21" s="121"/>
      <c r="B21" s="450"/>
      <c r="C21" s="451"/>
      <c r="D21" s="451"/>
      <c r="E21" s="451"/>
      <c r="F21" s="451"/>
      <c r="G21" s="451"/>
      <c r="H21" s="451"/>
      <c r="I21" s="451"/>
      <c r="J21" s="451"/>
      <c r="K21" s="451"/>
      <c r="L21" s="451"/>
      <c r="M21" s="452"/>
    </row>
    <row r="22" spans="1:17" x14ac:dyDescent="0.2">
      <c r="A22" s="121"/>
      <c r="B22" s="453"/>
      <c r="C22" s="454"/>
      <c r="D22" s="454"/>
      <c r="E22" s="454"/>
      <c r="F22" s="454"/>
      <c r="G22" s="454"/>
      <c r="H22" s="454"/>
      <c r="I22" s="454"/>
      <c r="J22" s="454"/>
      <c r="K22" s="454"/>
      <c r="L22" s="454"/>
      <c r="M22" s="455"/>
    </row>
    <row r="23" spans="1:17" x14ac:dyDescent="0.2">
      <c r="A23" s="121"/>
      <c r="B23" s="453"/>
      <c r="C23" s="454"/>
      <c r="D23" s="454"/>
      <c r="E23" s="454"/>
      <c r="F23" s="454"/>
      <c r="G23" s="454"/>
      <c r="H23" s="454"/>
      <c r="I23" s="454"/>
      <c r="J23" s="454"/>
      <c r="K23" s="454"/>
      <c r="L23" s="454"/>
      <c r="M23" s="455"/>
    </row>
    <row r="24" spans="1:17" x14ac:dyDescent="0.2">
      <c r="A24" s="121"/>
      <c r="B24" s="453"/>
      <c r="C24" s="454"/>
      <c r="D24" s="454"/>
      <c r="E24" s="454"/>
      <c r="F24" s="454"/>
      <c r="G24" s="454"/>
      <c r="H24" s="454"/>
      <c r="I24" s="454"/>
      <c r="J24" s="454"/>
      <c r="K24" s="454"/>
      <c r="L24" s="454"/>
      <c r="M24" s="455"/>
    </row>
    <row r="25" spans="1:17" x14ac:dyDescent="0.2">
      <c r="A25" s="121"/>
      <c r="B25" s="453"/>
      <c r="C25" s="454"/>
      <c r="D25" s="454"/>
      <c r="E25" s="454"/>
      <c r="F25" s="454"/>
      <c r="G25" s="454"/>
      <c r="H25" s="454"/>
      <c r="I25" s="454"/>
      <c r="J25" s="454"/>
      <c r="K25" s="454"/>
      <c r="L25" s="454"/>
      <c r="M25" s="455"/>
    </row>
    <row r="26" spans="1:17" x14ac:dyDescent="0.2">
      <c r="A26" s="121"/>
      <c r="B26" s="453"/>
      <c r="C26" s="454"/>
      <c r="D26" s="454"/>
      <c r="E26" s="454"/>
      <c r="F26" s="454"/>
      <c r="G26" s="454"/>
      <c r="H26" s="454"/>
      <c r="I26" s="454"/>
      <c r="J26" s="454"/>
      <c r="K26" s="454"/>
      <c r="L26" s="454"/>
      <c r="M26" s="455"/>
    </row>
    <row r="27" spans="1:17" x14ac:dyDescent="0.2">
      <c r="A27" s="121"/>
      <c r="B27" s="453"/>
      <c r="C27" s="454"/>
      <c r="D27" s="454"/>
      <c r="E27" s="454"/>
      <c r="F27" s="454"/>
      <c r="G27" s="454"/>
      <c r="H27" s="454"/>
      <c r="I27" s="454"/>
      <c r="J27" s="454"/>
      <c r="K27" s="454"/>
      <c r="L27" s="454"/>
      <c r="M27" s="455"/>
    </row>
    <row r="28" spans="1:17" ht="15" x14ac:dyDescent="0.2">
      <c r="A28" s="129"/>
      <c r="B28" s="453"/>
      <c r="C28" s="454"/>
      <c r="D28" s="454"/>
      <c r="E28" s="454"/>
      <c r="F28" s="454"/>
      <c r="G28" s="454"/>
      <c r="H28" s="454"/>
      <c r="I28" s="454"/>
      <c r="J28" s="454"/>
      <c r="K28" s="454"/>
      <c r="L28" s="454"/>
      <c r="M28" s="455"/>
    </row>
    <row r="29" spans="1:17" ht="15" x14ac:dyDescent="0.2">
      <c r="A29" s="129"/>
      <c r="B29" s="453"/>
      <c r="C29" s="454"/>
      <c r="D29" s="454"/>
      <c r="E29" s="454"/>
      <c r="F29" s="454"/>
      <c r="G29" s="454"/>
      <c r="H29" s="454"/>
      <c r="I29" s="454"/>
      <c r="J29" s="454"/>
      <c r="K29" s="454"/>
      <c r="L29" s="454"/>
      <c r="M29" s="455"/>
    </row>
    <row r="30" spans="1:17" ht="15" x14ac:dyDescent="0.2">
      <c r="A30" s="129"/>
      <c r="B30" s="453"/>
      <c r="C30" s="454"/>
      <c r="D30" s="454"/>
      <c r="E30" s="454"/>
      <c r="F30" s="454"/>
      <c r="G30" s="454"/>
      <c r="H30" s="454"/>
      <c r="I30" s="454"/>
      <c r="J30" s="454"/>
      <c r="K30" s="454"/>
      <c r="L30" s="454"/>
      <c r="M30" s="455"/>
    </row>
    <row r="31" spans="1:17" ht="15" x14ac:dyDescent="0.2">
      <c r="A31" s="129"/>
      <c r="B31" s="453"/>
      <c r="C31" s="454"/>
      <c r="D31" s="454"/>
      <c r="E31" s="454"/>
      <c r="F31" s="454"/>
      <c r="G31" s="454"/>
      <c r="H31" s="454"/>
      <c r="I31" s="454"/>
      <c r="J31" s="454"/>
      <c r="K31" s="454"/>
      <c r="L31" s="454"/>
      <c r="M31" s="455"/>
    </row>
    <row r="32" spans="1:17" ht="15" x14ac:dyDescent="0.2">
      <c r="A32" s="129"/>
      <c r="B32" s="453"/>
      <c r="C32" s="454"/>
      <c r="D32" s="454"/>
      <c r="E32" s="454"/>
      <c r="F32" s="454"/>
      <c r="G32" s="454"/>
      <c r="H32" s="454"/>
      <c r="I32" s="454"/>
      <c r="J32" s="454"/>
      <c r="K32" s="454"/>
      <c r="L32" s="454"/>
      <c r="M32" s="455"/>
    </row>
    <row r="33" spans="1:13" ht="15" x14ac:dyDescent="0.2">
      <c r="A33" s="129"/>
      <c r="B33" s="453"/>
      <c r="C33" s="454"/>
      <c r="D33" s="454"/>
      <c r="E33" s="454"/>
      <c r="F33" s="454"/>
      <c r="G33" s="454"/>
      <c r="H33" s="454"/>
      <c r="I33" s="454"/>
      <c r="J33" s="454"/>
      <c r="K33" s="454"/>
      <c r="L33" s="454"/>
      <c r="M33" s="455"/>
    </row>
    <row r="34" spans="1:13" ht="15" x14ac:dyDescent="0.2">
      <c r="A34" s="129"/>
      <c r="B34" s="453"/>
      <c r="C34" s="454"/>
      <c r="D34" s="454"/>
      <c r="E34" s="454"/>
      <c r="F34" s="454"/>
      <c r="G34" s="454"/>
      <c r="H34" s="454"/>
      <c r="I34" s="454"/>
      <c r="J34" s="454"/>
      <c r="K34" s="454"/>
      <c r="L34" s="454"/>
      <c r="M34" s="455"/>
    </row>
    <row r="35" spans="1:13" x14ac:dyDescent="0.2">
      <c r="B35" s="453"/>
      <c r="C35" s="454"/>
      <c r="D35" s="454"/>
      <c r="E35" s="454"/>
      <c r="F35" s="454"/>
      <c r="G35" s="454"/>
      <c r="H35" s="454"/>
      <c r="I35" s="454"/>
      <c r="J35" s="454"/>
      <c r="K35" s="454"/>
      <c r="L35" s="454"/>
      <c r="M35" s="455"/>
    </row>
    <row r="36" spans="1:13" x14ac:dyDescent="0.2">
      <c r="B36" s="453"/>
      <c r="C36" s="454"/>
      <c r="D36" s="454"/>
      <c r="E36" s="454"/>
      <c r="F36" s="454"/>
      <c r="G36" s="454"/>
      <c r="H36" s="454"/>
      <c r="I36" s="454"/>
      <c r="J36" s="454"/>
      <c r="K36" s="454"/>
      <c r="L36" s="454"/>
      <c r="M36" s="455"/>
    </row>
    <row r="37" spans="1:13" x14ac:dyDescent="0.2">
      <c r="B37" s="456"/>
      <c r="C37" s="457"/>
      <c r="D37" s="457"/>
      <c r="E37" s="457"/>
      <c r="F37" s="457"/>
      <c r="G37" s="457"/>
      <c r="H37" s="457"/>
      <c r="I37" s="457"/>
      <c r="J37" s="457"/>
      <c r="K37" s="457"/>
      <c r="L37" s="457"/>
      <c r="M37" s="458"/>
    </row>
  </sheetData>
  <sheetProtection algorithmName="SHA-512" hashValue="H+1BOz+wqXTtOWKKMaQMmiwlbWS536G/0OIAy66MPCSDCljJjIKXpiFqRBG1/XFqhoh6uCAUjez65N+zJ5MABQ==" saltValue="HDbqA88nYPDWGay4fjy1HQ==" spinCount="100000" sheet="1" insertColumns="0"/>
  <mergeCells count="2">
    <mergeCell ref="B21:M37"/>
    <mergeCell ref="C2:D2"/>
  </mergeCells>
  <pageMargins left="0.25" right="0.25" top="0.75" bottom="0.75" header="0.3" footer="0.3"/>
  <pageSetup paperSize="9" scale="71" orientation="landscape" r:id="rId1"/>
  <colBreaks count="1" manualBreakCount="1">
    <brk id="13" max="1048575" man="1"/>
  </colBreaks>
  <ignoredErrors>
    <ignoredError sqref="M17" evalError="1"/>
    <ignoredError sqref="M16" unlockedFormula="1"/>
  </ignoredErrors>
  <drawing r:id="rId2"/>
  <legacyDrawing r:id="rId3"/>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Title="Einddatum te laat " error="De door u ingevulde einddatum van de mijlpaal ligt na de ingevulde einddatum van de investeringsbegroting! " xr:uid="{E0206638-5D1A-477B-B4C3-99511A9263EF}">
          <x14:formula1>
            <xm:f>'Proj.gegevens_invest.begroting'!$D$44</xm:f>
          </x14:formula1>
          <x14:formula2>
            <xm:f>'Proj.gegevens_invest.begroting'!$D$45</xm:f>
          </x14:formula2>
          <xm:sqref>C19:L19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04D3-B234-46C3-A498-46CC0E2CA5A8}">
  <dimension ref="A1:E33"/>
  <sheetViews>
    <sheetView zoomScaleNormal="100" workbookViewId="0">
      <selection activeCell="A4" sqref="A4"/>
    </sheetView>
  </sheetViews>
  <sheetFormatPr defaultRowHeight="15" x14ac:dyDescent="0.25"/>
  <cols>
    <col min="1" max="1" width="123.85546875" style="372" customWidth="1"/>
    <col min="2" max="256" width="9.140625" style="1"/>
    <col min="257" max="257" width="123.85546875" style="1" customWidth="1"/>
    <col min="258" max="512" width="9.140625" style="1"/>
    <col min="513" max="513" width="123.85546875" style="1" customWidth="1"/>
    <col min="514" max="768" width="9.140625" style="1"/>
    <col min="769" max="769" width="123.85546875" style="1" customWidth="1"/>
    <col min="770" max="1024" width="9.140625" style="1"/>
    <col min="1025" max="1025" width="123.85546875" style="1" customWidth="1"/>
    <col min="1026" max="1280" width="9.140625" style="1"/>
    <col min="1281" max="1281" width="123.85546875" style="1" customWidth="1"/>
    <col min="1282" max="1536" width="9.140625" style="1"/>
    <col min="1537" max="1537" width="123.85546875" style="1" customWidth="1"/>
    <col min="1538" max="1792" width="9.140625" style="1"/>
    <col min="1793" max="1793" width="123.85546875" style="1" customWidth="1"/>
    <col min="1794" max="2048" width="9.140625" style="1"/>
    <col min="2049" max="2049" width="123.85546875" style="1" customWidth="1"/>
    <col min="2050" max="2304" width="9.140625" style="1"/>
    <col min="2305" max="2305" width="123.85546875" style="1" customWidth="1"/>
    <col min="2306" max="2560" width="9.140625" style="1"/>
    <col min="2561" max="2561" width="123.85546875" style="1" customWidth="1"/>
    <col min="2562" max="2816" width="9.140625" style="1"/>
    <col min="2817" max="2817" width="123.85546875" style="1" customWidth="1"/>
    <col min="2818" max="3072" width="9.140625" style="1"/>
    <col min="3073" max="3073" width="123.85546875" style="1" customWidth="1"/>
    <col min="3074" max="3328" width="9.140625" style="1"/>
    <col min="3329" max="3329" width="123.85546875" style="1" customWidth="1"/>
    <col min="3330" max="3584" width="9.140625" style="1"/>
    <col min="3585" max="3585" width="123.85546875" style="1" customWidth="1"/>
    <col min="3586" max="3840" width="9.140625" style="1"/>
    <col min="3841" max="3841" width="123.85546875" style="1" customWidth="1"/>
    <col min="3842" max="4096" width="9.140625" style="1"/>
    <col min="4097" max="4097" width="123.85546875" style="1" customWidth="1"/>
    <col min="4098" max="4352" width="9.140625" style="1"/>
    <col min="4353" max="4353" width="123.85546875" style="1" customWidth="1"/>
    <col min="4354" max="4608" width="9.140625" style="1"/>
    <col min="4609" max="4609" width="123.85546875" style="1" customWidth="1"/>
    <col min="4610" max="4864" width="9.140625" style="1"/>
    <col min="4865" max="4865" width="123.85546875" style="1" customWidth="1"/>
    <col min="4866" max="5120" width="9.140625" style="1"/>
    <col min="5121" max="5121" width="123.85546875" style="1" customWidth="1"/>
    <col min="5122" max="5376" width="9.140625" style="1"/>
    <col min="5377" max="5377" width="123.85546875" style="1" customWidth="1"/>
    <col min="5378" max="5632" width="9.140625" style="1"/>
    <col min="5633" max="5633" width="123.85546875" style="1" customWidth="1"/>
    <col min="5634" max="5888" width="9.140625" style="1"/>
    <col min="5889" max="5889" width="123.85546875" style="1" customWidth="1"/>
    <col min="5890" max="6144" width="9.140625" style="1"/>
    <col min="6145" max="6145" width="123.85546875" style="1" customWidth="1"/>
    <col min="6146" max="6400" width="9.140625" style="1"/>
    <col min="6401" max="6401" width="123.85546875" style="1" customWidth="1"/>
    <col min="6402" max="6656" width="9.140625" style="1"/>
    <col min="6657" max="6657" width="123.85546875" style="1" customWidth="1"/>
    <col min="6658" max="6912" width="9.140625" style="1"/>
    <col min="6913" max="6913" width="123.85546875" style="1" customWidth="1"/>
    <col min="6914" max="7168" width="9.140625" style="1"/>
    <col min="7169" max="7169" width="123.85546875" style="1" customWidth="1"/>
    <col min="7170" max="7424" width="9.140625" style="1"/>
    <col min="7425" max="7425" width="123.85546875" style="1" customWidth="1"/>
    <col min="7426" max="7680" width="9.140625" style="1"/>
    <col min="7681" max="7681" width="123.85546875" style="1" customWidth="1"/>
    <col min="7682" max="7936" width="9.140625" style="1"/>
    <col min="7937" max="7937" width="123.85546875" style="1" customWidth="1"/>
    <col min="7938" max="8192" width="9.140625" style="1"/>
    <col min="8193" max="8193" width="123.85546875" style="1" customWidth="1"/>
    <col min="8194" max="8448" width="9.140625" style="1"/>
    <col min="8449" max="8449" width="123.85546875" style="1" customWidth="1"/>
    <col min="8450" max="8704" width="9.140625" style="1"/>
    <col min="8705" max="8705" width="123.85546875" style="1" customWidth="1"/>
    <col min="8706" max="8960" width="9.140625" style="1"/>
    <col min="8961" max="8961" width="123.85546875" style="1" customWidth="1"/>
    <col min="8962" max="9216" width="9.140625" style="1"/>
    <col min="9217" max="9217" width="123.85546875" style="1" customWidth="1"/>
    <col min="9218" max="9472" width="9.140625" style="1"/>
    <col min="9473" max="9473" width="123.85546875" style="1" customWidth="1"/>
    <col min="9474" max="9728" width="9.140625" style="1"/>
    <col min="9729" max="9729" width="123.85546875" style="1" customWidth="1"/>
    <col min="9730" max="9984" width="9.140625" style="1"/>
    <col min="9985" max="9985" width="123.85546875" style="1" customWidth="1"/>
    <col min="9986" max="10240" width="9.140625" style="1"/>
    <col min="10241" max="10241" width="123.85546875" style="1" customWidth="1"/>
    <col min="10242" max="10496" width="9.140625" style="1"/>
    <col min="10497" max="10497" width="123.85546875" style="1" customWidth="1"/>
    <col min="10498" max="10752" width="9.140625" style="1"/>
    <col min="10753" max="10753" width="123.85546875" style="1" customWidth="1"/>
    <col min="10754" max="11008" width="9.140625" style="1"/>
    <col min="11009" max="11009" width="123.85546875" style="1" customWidth="1"/>
    <col min="11010" max="11264" width="9.140625" style="1"/>
    <col min="11265" max="11265" width="123.85546875" style="1" customWidth="1"/>
    <col min="11266" max="11520" width="9.140625" style="1"/>
    <col min="11521" max="11521" width="123.85546875" style="1" customWidth="1"/>
    <col min="11522" max="11776" width="9.140625" style="1"/>
    <col min="11777" max="11777" width="123.85546875" style="1" customWidth="1"/>
    <col min="11778" max="12032" width="9.140625" style="1"/>
    <col min="12033" max="12033" width="123.85546875" style="1" customWidth="1"/>
    <col min="12034" max="12288" width="9.140625" style="1"/>
    <col min="12289" max="12289" width="123.85546875" style="1" customWidth="1"/>
    <col min="12290" max="12544" width="9.140625" style="1"/>
    <col min="12545" max="12545" width="123.85546875" style="1" customWidth="1"/>
    <col min="12546" max="12800" width="9.140625" style="1"/>
    <col min="12801" max="12801" width="123.85546875" style="1" customWidth="1"/>
    <col min="12802" max="13056" width="9.140625" style="1"/>
    <col min="13057" max="13057" width="123.85546875" style="1" customWidth="1"/>
    <col min="13058" max="13312" width="9.140625" style="1"/>
    <col min="13313" max="13313" width="123.85546875" style="1" customWidth="1"/>
    <col min="13314" max="13568" width="9.140625" style="1"/>
    <col min="13569" max="13569" width="123.85546875" style="1" customWidth="1"/>
    <col min="13570" max="13824" width="9.140625" style="1"/>
    <col min="13825" max="13825" width="123.85546875" style="1" customWidth="1"/>
    <col min="13826" max="14080" width="9.140625" style="1"/>
    <col min="14081" max="14081" width="123.85546875" style="1" customWidth="1"/>
    <col min="14082" max="14336" width="9.140625" style="1"/>
    <col min="14337" max="14337" width="123.85546875" style="1" customWidth="1"/>
    <col min="14338" max="14592" width="9.140625" style="1"/>
    <col min="14593" max="14593" width="123.85546875" style="1" customWidth="1"/>
    <col min="14594" max="14848" width="9.140625" style="1"/>
    <col min="14849" max="14849" width="123.85546875" style="1" customWidth="1"/>
    <col min="14850" max="15104" width="9.140625" style="1"/>
    <col min="15105" max="15105" width="123.85546875" style="1" customWidth="1"/>
    <col min="15106" max="15360" width="9.140625" style="1"/>
    <col min="15361" max="15361" width="123.85546875" style="1" customWidth="1"/>
    <col min="15362" max="15616" width="9.140625" style="1"/>
    <col min="15617" max="15617" width="123.85546875" style="1" customWidth="1"/>
    <col min="15618" max="15872" width="9.140625" style="1"/>
    <col min="15873" max="15873" width="123.85546875" style="1" customWidth="1"/>
    <col min="15874" max="16128" width="9.140625" style="1"/>
    <col min="16129" max="16129" width="123.85546875" style="1" customWidth="1"/>
    <col min="16130" max="16384" width="9.140625" style="1"/>
  </cols>
  <sheetData>
    <row r="1" spans="1:2" ht="135" customHeight="1" x14ac:dyDescent="0.25"/>
    <row r="2" spans="1:2" ht="35.25" x14ac:dyDescent="0.25">
      <c r="A2" s="373" t="s">
        <v>336</v>
      </c>
    </row>
    <row r="3" spans="1:2" ht="36" customHeight="1" x14ac:dyDescent="0.25">
      <c r="A3" s="374" t="s">
        <v>375</v>
      </c>
    </row>
    <row r="4" spans="1:2" ht="21.95" customHeight="1" x14ac:dyDescent="0.25">
      <c r="A4" s="375" t="s">
        <v>0</v>
      </c>
    </row>
    <row r="5" spans="1:2" ht="37.5" customHeight="1" x14ac:dyDescent="0.25">
      <c r="A5" s="376" t="s">
        <v>216</v>
      </c>
    </row>
    <row r="6" spans="1:2" ht="14.25" customHeight="1" x14ac:dyDescent="0.25">
      <c r="A6" s="382" t="s">
        <v>217</v>
      </c>
      <c r="B6" s="10"/>
    </row>
    <row r="7" spans="1:2" ht="31.5" customHeight="1" x14ac:dyDescent="0.25">
      <c r="A7" s="376" t="s">
        <v>326</v>
      </c>
    </row>
    <row r="8" spans="1:2" ht="33.75" customHeight="1" x14ac:dyDescent="0.25">
      <c r="A8" s="375" t="s">
        <v>1</v>
      </c>
    </row>
    <row r="9" spans="1:2" ht="45" customHeight="1" x14ac:dyDescent="0.25">
      <c r="A9" s="376" t="s">
        <v>2</v>
      </c>
    </row>
    <row r="10" spans="1:2" ht="27" customHeight="1" x14ac:dyDescent="0.25">
      <c r="A10" s="375" t="s">
        <v>3</v>
      </c>
    </row>
    <row r="11" spans="1:2" x14ac:dyDescent="0.25">
      <c r="A11" s="377" t="s">
        <v>4</v>
      </c>
    </row>
    <row r="12" spans="1:2" ht="38.25" x14ac:dyDescent="0.25">
      <c r="A12" s="376" t="s">
        <v>218</v>
      </c>
    </row>
    <row r="13" spans="1:2" s="3" customFormat="1" x14ac:dyDescent="0.25">
      <c r="A13" s="378"/>
    </row>
    <row r="14" spans="1:2" x14ac:dyDescent="0.25">
      <c r="A14" s="377" t="s">
        <v>5</v>
      </c>
    </row>
    <row r="15" spans="1:2" ht="43.5" customHeight="1" x14ac:dyDescent="0.25">
      <c r="A15" s="376" t="s">
        <v>327</v>
      </c>
    </row>
    <row r="16" spans="1:2" x14ac:dyDescent="0.25">
      <c r="A16" s="376"/>
    </row>
    <row r="17" spans="1:5" x14ac:dyDescent="0.25">
      <c r="A17" s="377" t="s">
        <v>6</v>
      </c>
    </row>
    <row r="18" spans="1:5" ht="42.75" customHeight="1" x14ac:dyDescent="0.25">
      <c r="A18" s="376" t="s">
        <v>219</v>
      </c>
    </row>
    <row r="19" spans="1:5" x14ac:dyDescent="0.25">
      <c r="A19" s="377"/>
    </row>
    <row r="20" spans="1:5" x14ac:dyDescent="0.25">
      <c r="A20" s="379" t="s">
        <v>7</v>
      </c>
      <c r="B20" s="2"/>
      <c r="C20" s="2"/>
      <c r="D20" s="2"/>
      <c r="E20" s="2"/>
    </row>
    <row r="21" spans="1:5" ht="25.5" x14ac:dyDescent="0.25">
      <c r="A21" s="376" t="s">
        <v>220</v>
      </c>
      <c r="B21" s="2"/>
      <c r="C21" s="2"/>
      <c r="D21" s="2"/>
      <c r="E21" s="2"/>
    </row>
    <row r="22" spans="1:5" x14ac:dyDescent="0.25">
      <c r="A22" s="376" t="s">
        <v>8</v>
      </c>
      <c r="B22" s="2"/>
      <c r="C22" s="2"/>
      <c r="D22" s="2"/>
      <c r="E22" s="2"/>
    </row>
    <row r="23" spans="1:5" x14ac:dyDescent="0.25">
      <c r="A23" s="376" t="s">
        <v>9</v>
      </c>
      <c r="B23" s="2"/>
      <c r="C23" s="2"/>
      <c r="D23" s="2"/>
      <c r="E23" s="2"/>
    </row>
    <row r="24" spans="1:5" ht="11.25" customHeight="1" x14ac:dyDescent="0.25"/>
    <row r="25" spans="1:5" ht="21.95" customHeight="1" x14ac:dyDescent="0.25">
      <c r="A25" s="380" t="s">
        <v>10</v>
      </c>
    </row>
    <row r="26" spans="1:5" ht="25.5" x14ac:dyDescent="0.25">
      <c r="A26" s="376" t="s">
        <v>11</v>
      </c>
    </row>
    <row r="27" spans="1:5" ht="45" customHeight="1" x14ac:dyDescent="0.25">
      <c r="A27" s="376" t="s">
        <v>328</v>
      </c>
    </row>
    <row r="28" spans="1:5" ht="21.95" customHeight="1" x14ac:dyDescent="0.25">
      <c r="A28" s="375" t="s">
        <v>12</v>
      </c>
    </row>
    <row r="29" spans="1:5" ht="31.5" customHeight="1" x14ac:dyDescent="0.25">
      <c r="A29" s="376" t="s">
        <v>13</v>
      </c>
    </row>
    <row r="33" spans="1:1" x14ac:dyDescent="0.25">
      <c r="A33" s="381"/>
    </row>
  </sheetData>
  <sheetProtection algorithmName="SHA-512" hashValue="RYd9eLRe6DHBz2eZ+Rn1hojwOhUP+B7LIeysZFCd5bygRwJBrzcE9Lt0l5ANme4eRz6T+0h0Ji1xHusjKLnR+Q==" saltValue="xEy+3aoeQp0Hm3UYEtLo+g==" spinCount="100000" sheet="1" objects="1" scenarios="1"/>
  <hyperlinks>
    <hyperlink ref="A6" r:id="rId1" display="Handleiding haalbaarheidsstudie SDE++ " xr:uid="{EB37CBA0-F96C-489F-AB87-860672FDF224}"/>
  </hyperlinks>
  <pageMargins left="0.7" right="0.7" top="0.75" bottom="0.75" header="0.3" footer="0.3"/>
  <pageSetup paperSize="9" scale="55" orientation="portrait" horizontalDpi="1200" verticalDpi="1200"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437A-E80A-413F-AD3A-A8C2B333BB16}">
  <dimension ref="A1:W101"/>
  <sheetViews>
    <sheetView zoomScaleNormal="100" workbookViewId="0">
      <selection activeCell="G58" sqref="G58"/>
    </sheetView>
  </sheetViews>
  <sheetFormatPr defaultColWidth="8.7109375" defaultRowHeight="15" x14ac:dyDescent="0.25"/>
  <cols>
    <col min="1" max="1" width="41.42578125" style="3" customWidth="1"/>
    <col min="2" max="3" width="8.7109375" style="3"/>
    <col min="4" max="4" width="23.140625" style="3" customWidth="1"/>
    <col min="5" max="5" width="40.42578125" style="3" customWidth="1"/>
    <col min="6" max="6" width="10.5703125" style="3" customWidth="1"/>
    <col min="7" max="7" width="13.85546875" style="3" customWidth="1"/>
    <col min="8" max="8" width="125" style="3" customWidth="1"/>
    <col min="9" max="22" width="11.7109375" style="3" customWidth="1"/>
    <col min="23" max="23" width="10.140625" style="3" bestFit="1" customWidth="1"/>
    <col min="24" max="256" width="8.7109375" style="3"/>
    <col min="257" max="257" width="38" style="3" customWidth="1"/>
    <col min="258" max="259" width="8.7109375" style="3"/>
    <col min="260" max="260" width="23.140625" style="3" customWidth="1"/>
    <col min="261" max="261" width="40.42578125" style="3" customWidth="1"/>
    <col min="262" max="262" width="10.5703125" style="3" customWidth="1"/>
    <col min="263" max="263" width="14" style="3" customWidth="1"/>
    <col min="264" max="264" width="125" style="3" customWidth="1"/>
    <col min="265" max="278" width="11.7109375" style="3" customWidth="1"/>
    <col min="279" max="279" width="10.140625" style="3" bestFit="1" customWidth="1"/>
    <col min="280" max="512" width="8.7109375" style="3"/>
    <col min="513" max="513" width="38" style="3" customWidth="1"/>
    <col min="514" max="515" width="8.7109375" style="3"/>
    <col min="516" max="516" width="23.140625" style="3" customWidth="1"/>
    <col min="517" max="517" width="40.42578125" style="3" customWidth="1"/>
    <col min="518" max="518" width="10.5703125" style="3" customWidth="1"/>
    <col min="519" max="519" width="14" style="3" customWidth="1"/>
    <col min="520" max="520" width="125" style="3" customWidth="1"/>
    <col min="521" max="534" width="11.7109375" style="3" customWidth="1"/>
    <col min="535" max="535" width="10.140625" style="3" bestFit="1" customWidth="1"/>
    <col min="536" max="768" width="8.7109375" style="3"/>
    <col min="769" max="769" width="38" style="3" customWidth="1"/>
    <col min="770" max="771" width="8.7109375" style="3"/>
    <col min="772" max="772" width="23.140625" style="3" customWidth="1"/>
    <col min="773" max="773" width="40.42578125" style="3" customWidth="1"/>
    <col min="774" max="774" width="10.5703125" style="3" customWidth="1"/>
    <col min="775" max="775" width="14" style="3" customWidth="1"/>
    <col min="776" max="776" width="125" style="3" customWidth="1"/>
    <col min="777" max="790" width="11.7109375" style="3" customWidth="1"/>
    <col min="791" max="791" width="10.140625" style="3" bestFit="1" customWidth="1"/>
    <col min="792" max="1024" width="8.7109375" style="3"/>
    <col min="1025" max="1025" width="38" style="3" customWidth="1"/>
    <col min="1026" max="1027" width="8.7109375" style="3"/>
    <col min="1028" max="1028" width="23.140625" style="3" customWidth="1"/>
    <col min="1029" max="1029" width="40.42578125" style="3" customWidth="1"/>
    <col min="1030" max="1030" width="10.5703125" style="3" customWidth="1"/>
    <col min="1031" max="1031" width="14" style="3" customWidth="1"/>
    <col min="1032" max="1032" width="125" style="3" customWidth="1"/>
    <col min="1033" max="1046" width="11.7109375" style="3" customWidth="1"/>
    <col min="1047" max="1047" width="10.140625" style="3" bestFit="1" customWidth="1"/>
    <col min="1048" max="1280" width="8.7109375" style="3"/>
    <col min="1281" max="1281" width="38" style="3" customWidth="1"/>
    <col min="1282" max="1283" width="8.7109375" style="3"/>
    <col min="1284" max="1284" width="23.140625" style="3" customWidth="1"/>
    <col min="1285" max="1285" width="40.42578125" style="3" customWidth="1"/>
    <col min="1286" max="1286" width="10.5703125" style="3" customWidth="1"/>
    <col min="1287" max="1287" width="14" style="3" customWidth="1"/>
    <col min="1288" max="1288" width="125" style="3" customWidth="1"/>
    <col min="1289" max="1302" width="11.7109375" style="3" customWidth="1"/>
    <col min="1303" max="1303" width="10.140625" style="3" bestFit="1" customWidth="1"/>
    <col min="1304" max="1536" width="8.7109375" style="3"/>
    <col min="1537" max="1537" width="38" style="3" customWidth="1"/>
    <col min="1538" max="1539" width="8.7109375" style="3"/>
    <col min="1540" max="1540" width="23.140625" style="3" customWidth="1"/>
    <col min="1541" max="1541" width="40.42578125" style="3" customWidth="1"/>
    <col min="1542" max="1542" width="10.5703125" style="3" customWidth="1"/>
    <col min="1543" max="1543" width="14" style="3" customWidth="1"/>
    <col min="1544" max="1544" width="125" style="3" customWidth="1"/>
    <col min="1545" max="1558" width="11.7109375" style="3" customWidth="1"/>
    <col min="1559" max="1559" width="10.140625" style="3" bestFit="1" customWidth="1"/>
    <col min="1560" max="1792" width="8.7109375" style="3"/>
    <col min="1793" max="1793" width="38" style="3" customWidth="1"/>
    <col min="1794" max="1795" width="8.7109375" style="3"/>
    <col min="1796" max="1796" width="23.140625" style="3" customWidth="1"/>
    <col min="1797" max="1797" width="40.42578125" style="3" customWidth="1"/>
    <col min="1798" max="1798" width="10.5703125" style="3" customWidth="1"/>
    <col min="1799" max="1799" width="14" style="3" customWidth="1"/>
    <col min="1800" max="1800" width="125" style="3" customWidth="1"/>
    <col min="1801" max="1814" width="11.7109375" style="3" customWidth="1"/>
    <col min="1815" max="1815" width="10.140625" style="3" bestFit="1" customWidth="1"/>
    <col min="1816" max="2048" width="8.7109375" style="3"/>
    <col min="2049" max="2049" width="38" style="3" customWidth="1"/>
    <col min="2050" max="2051" width="8.7109375" style="3"/>
    <col min="2052" max="2052" width="23.140625" style="3" customWidth="1"/>
    <col min="2053" max="2053" width="40.42578125" style="3" customWidth="1"/>
    <col min="2054" max="2054" width="10.5703125" style="3" customWidth="1"/>
    <col min="2055" max="2055" width="14" style="3" customWidth="1"/>
    <col min="2056" max="2056" width="125" style="3" customWidth="1"/>
    <col min="2057" max="2070" width="11.7109375" style="3" customWidth="1"/>
    <col min="2071" max="2071" width="10.140625" style="3" bestFit="1" customWidth="1"/>
    <col min="2072" max="2304" width="8.7109375" style="3"/>
    <col min="2305" max="2305" width="38" style="3" customWidth="1"/>
    <col min="2306" max="2307" width="8.7109375" style="3"/>
    <col min="2308" max="2308" width="23.140625" style="3" customWidth="1"/>
    <col min="2309" max="2309" width="40.42578125" style="3" customWidth="1"/>
    <col min="2310" max="2310" width="10.5703125" style="3" customWidth="1"/>
    <col min="2311" max="2311" width="14" style="3" customWidth="1"/>
    <col min="2312" max="2312" width="125" style="3" customWidth="1"/>
    <col min="2313" max="2326" width="11.7109375" style="3" customWidth="1"/>
    <col min="2327" max="2327" width="10.140625" style="3" bestFit="1" customWidth="1"/>
    <col min="2328" max="2560" width="8.7109375" style="3"/>
    <col min="2561" max="2561" width="38" style="3" customWidth="1"/>
    <col min="2562" max="2563" width="8.7109375" style="3"/>
    <col min="2564" max="2564" width="23.140625" style="3" customWidth="1"/>
    <col min="2565" max="2565" width="40.42578125" style="3" customWidth="1"/>
    <col min="2566" max="2566" width="10.5703125" style="3" customWidth="1"/>
    <col min="2567" max="2567" width="14" style="3" customWidth="1"/>
    <col min="2568" max="2568" width="125" style="3" customWidth="1"/>
    <col min="2569" max="2582" width="11.7109375" style="3" customWidth="1"/>
    <col min="2583" max="2583" width="10.140625" style="3" bestFit="1" customWidth="1"/>
    <col min="2584" max="2816" width="8.7109375" style="3"/>
    <col min="2817" max="2817" width="38" style="3" customWidth="1"/>
    <col min="2818" max="2819" width="8.7109375" style="3"/>
    <col min="2820" max="2820" width="23.140625" style="3" customWidth="1"/>
    <col min="2821" max="2821" width="40.42578125" style="3" customWidth="1"/>
    <col min="2822" max="2822" width="10.5703125" style="3" customWidth="1"/>
    <col min="2823" max="2823" width="14" style="3" customWidth="1"/>
    <col min="2824" max="2824" width="125" style="3" customWidth="1"/>
    <col min="2825" max="2838" width="11.7109375" style="3" customWidth="1"/>
    <col min="2839" max="2839" width="10.140625" style="3" bestFit="1" customWidth="1"/>
    <col min="2840" max="3072" width="8.7109375" style="3"/>
    <col min="3073" max="3073" width="38" style="3" customWidth="1"/>
    <col min="3074" max="3075" width="8.7109375" style="3"/>
    <col min="3076" max="3076" width="23.140625" style="3" customWidth="1"/>
    <col min="3077" max="3077" width="40.42578125" style="3" customWidth="1"/>
    <col min="3078" max="3078" width="10.5703125" style="3" customWidth="1"/>
    <col min="3079" max="3079" width="14" style="3" customWidth="1"/>
    <col min="3080" max="3080" width="125" style="3" customWidth="1"/>
    <col min="3081" max="3094" width="11.7109375" style="3" customWidth="1"/>
    <col min="3095" max="3095" width="10.140625" style="3" bestFit="1" customWidth="1"/>
    <col min="3096" max="3328" width="8.7109375" style="3"/>
    <col min="3329" max="3329" width="38" style="3" customWidth="1"/>
    <col min="3330" max="3331" width="8.7109375" style="3"/>
    <col min="3332" max="3332" width="23.140625" style="3" customWidth="1"/>
    <col min="3333" max="3333" width="40.42578125" style="3" customWidth="1"/>
    <col min="3334" max="3334" width="10.5703125" style="3" customWidth="1"/>
    <col min="3335" max="3335" width="14" style="3" customWidth="1"/>
    <col min="3336" max="3336" width="125" style="3" customWidth="1"/>
    <col min="3337" max="3350" width="11.7109375" style="3" customWidth="1"/>
    <col min="3351" max="3351" width="10.140625" style="3" bestFit="1" customWidth="1"/>
    <col min="3352" max="3584" width="8.7109375" style="3"/>
    <col min="3585" max="3585" width="38" style="3" customWidth="1"/>
    <col min="3586" max="3587" width="8.7109375" style="3"/>
    <col min="3588" max="3588" width="23.140625" style="3" customWidth="1"/>
    <col min="3589" max="3589" width="40.42578125" style="3" customWidth="1"/>
    <col min="3590" max="3590" width="10.5703125" style="3" customWidth="1"/>
    <col min="3591" max="3591" width="14" style="3" customWidth="1"/>
    <col min="3592" max="3592" width="125" style="3" customWidth="1"/>
    <col min="3593" max="3606" width="11.7109375" style="3" customWidth="1"/>
    <col min="3607" max="3607" width="10.140625" style="3" bestFit="1" customWidth="1"/>
    <col min="3608" max="3840" width="8.7109375" style="3"/>
    <col min="3841" max="3841" width="38" style="3" customWidth="1"/>
    <col min="3842" max="3843" width="8.7109375" style="3"/>
    <col min="3844" max="3844" width="23.140625" style="3" customWidth="1"/>
    <col min="3845" max="3845" width="40.42578125" style="3" customWidth="1"/>
    <col min="3846" max="3846" width="10.5703125" style="3" customWidth="1"/>
    <col min="3847" max="3847" width="14" style="3" customWidth="1"/>
    <col min="3848" max="3848" width="125" style="3" customWidth="1"/>
    <col min="3849" max="3862" width="11.7109375" style="3" customWidth="1"/>
    <col min="3863" max="3863" width="10.140625" style="3" bestFit="1" customWidth="1"/>
    <col min="3864" max="4096" width="8.7109375" style="3"/>
    <col min="4097" max="4097" width="38" style="3" customWidth="1"/>
    <col min="4098" max="4099" width="8.7109375" style="3"/>
    <col min="4100" max="4100" width="23.140625" style="3" customWidth="1"/>
    <col min="4101" max="4101" width="40.42578125" style="3" customWidth="1"/>
    <col min="4102" max="4102" width="10.5703125" style="3" customWidth="1"/>
    <col min="4103" max="4103" width="14" style="3" customWidth="1"/>
    <col min="4104" max="4104" width="125" style="3" customWidth="1"/>
    <col min="4105" max="4118" width="11.7109375" style="3" customWidth="1"/>
    <col min="4119" max="4119" width="10.140625" style="3" bestFit="1" customWidth="1"/>
    <col min="4120" max="4352" width="8.7109375" style="3"/>
    <col min="4353" max="4353" width="38" style="3" customWidth="1"/>
    <col min="4354" max="4355" width="8.7109375" style="3"/>
    <col min="4356" max="4356" width="23.140625" style="3" customWidth="1"/>
    <col min="4357" max="4357" width="40.42578125" style="3" customWidth="1"/>
    <col min="4358" max="4358" width="10.5703125" style="3" customWidth="1"/>
    <col min="4359" max="4359" width="14" style="3" customWidth="1"/>
    <col min="4360" max="4360" width="125" style="3" customWidth="1"/>
    <col min="4361" max="4374" width="11.7109375" style="3" customWidth="1"/>
    <col min="4375" max="4375" width="10.140625" style="3" bestFit="1" customWidth="1"/>
    <col min="4376" max="4608" width="8.7109375" style="3"/>
    <col min="4609" max="4609" width="38" style="3" customWidth="1"/>
    <col min="4610" max="4611" width="8.7109375" style="3"/>
    <col min="4612" max="4612" width="23.140625" style="3" customWidth="1"/>
    <col min="4613" max="4613" width="40.42578125" style="3" customWidth="1"/>
    <col min="4614" max="4614" width="10.5703125" style="3" customWidth="1"/>
    <col min="4615" max="4615" width="14" style="3" customWidth="1"/>
    <col min="4616" max="4616" width="125" style="3" customWidth="1"/>
    <col min="4617" max="4630" width="11.7109375" style="3" customWidth="1"/>
    <col min="4631" max="4631" width="10.140625" style="3" bestFit="1" customWidth="1"/>
    <col min="4632" max="4864" width="8.7109375" style="3"/>
    <col min="4865" max="4865" width="38" style="3" customWidth="1"/>
    <col min="4866" max="4867" width="8.7109375" style="3"/>
    <col min="4868" max="4868" width="23.140625" style="3" customWidth="1"/>
    <col min="4869" max="4869" width="40.42578125" style="3" customWidth="1"/>
    <col min="4870" max="4870" width="10.5703125" style="3" customWidth="1"/>
    <col min="4871" max="4871" width="14" style="3" customWidth="1"/>
    <col min="4872" max="4872" width="125" style="3" customWidth="1"/>
    <col min="4873" max="4886" width="11.7109375" style="3" customWidth="1"/>
    <col min="4887" max="4887" width="10.140625" style="3" bestFit="1" customWidth="1"/>
    <col min="4888" max="5120" width="8.7109375" style="3"/>
    <col min="5121" max="5121" width="38" style="3" customWidth="1"/>
    <col min="5122" max="5123" width="8.7109375" style="3"/>
    <col min="5124" max="5124" width="23.140625" style="3" customWidth="1"/>
    <col min="5125" max="5125" width="40.42578125" style="3" customWidth="1"/>
    <col min="5126" max="5126" width="10.5703125" style="3" customWidth="1"/>
    <col min="5127" max="5127" width="14" style="3" customWidth="1"/>
    <col min="5128" max="5128" width="125" style="3" customWidth="1"/>
    <col min="5129" max="5142" width="11.7109375" style="3" customWidth="1"/>
    <col min="5143" max="5143" width="10.140625" style="3" bestFit="1" customWidth="1"/>
    <col min="5144" max="5376" width="8.7109375" style="3"/>
    <col min="5377" max="5377" width="38" style="3" customWidth="1"/>
    <col min="5378" max="5379" width="8.7109375" style="3"/>
    <col min="5380" max="5380" width="23.140625" style="3" customWidth="1"/>
    <col min="5381" max="5381" width="40.42578125" style="3" customWidth="1"/>
    <col min="5382" max="5382" width="10.5703125" style="3" customWidth="1"/>
    <col min="5383" max="5383" width="14" style="3" customWidth="1"/>
    <col min="5384" max="5384" width="125" style="3" customWidth="1"/>
    <col min="5385" max="5398" width="11.7109375" style="3" customWidth="1"/>
    <col min="5399" max="5399" width="10.140625" style="3" bestFit="1" customWidth="1"/>
    <col min="5400" max="5632" width="8.7109375" style="3"/>
    <col min="5633" max="5633" width="38" style="3" customWidth="1"/>
    <col min="5634" max="5635" width="8.7109375" style="3"/>
    <col min="5636" max="5636" width="23.140625" style="3" customWidth="1"/>
    <col min="5637" max="5637" width="40.42578125" style="3" customWidth="1"/>
    <col min="5638" max="5638" width="10.5703125" style="3" customWidth="1"/>
    <col min="5639" max="5639" width="14" style="3" customWidth="1"/>
    <col min="5640" max="5640" width="125" style="3" customWidth="1"/>
    <col min="5641" max="5654" width="11.7109375" style="3" customWidth="1"/>
    <col min="5655" max="5655" width="10.140625" style="3" bestFit="1" customWidth="1"/>
    <col min="5656" max="5888" width="8.7109375" style="3"/>
    <col min="5889" max="5889" width="38" style="3" customWidth="1"/>
    <col min="5890" max="5891" width="8.7109375" style="3"/>
    <col min="5892" max="5892" width="23.140625" style="3" customWidth="1"/>
    <col min="5893" max="5893" width="40.42578125" style="3" customWidth="1"/>
    <col min="5894" max="5894" width="10.5703125" style="3" customWidth="1"/>
    <col min="5895" max="5895" width="14" style="3" customWidth="1"/>
    <col min="5896" max="5896" width="125" style="3" customWidth="1"/>
    <col min="5897" max="5910" width="11.7109375" style="3" customWidth="1"/>
    <col min="5911" max="5911" width="10.140625" style="3" bestFit="1" customWidth="1"/>
    <col min="5912" max="6144" width="8.7109375" style="3"/>
    <col min="6145" max="6145" width="38" style="3" customWidth="1"/>
    <col min="6146" max="6147" width="8.7109375" style="3"/>
    <col min="6148" max="6148" width="23.140625" style="3" customWidth="1"/>
    <col min="6149" max="6149" width="40.42578125" style="3" customWidth="1"/>
    <col min="6150" max="6150" width="10.5703125" style="3" customWidth="1"/>
    <col min="6151" max="6151" width="14" style="3" customWidth="1"/>
    <col min="6152" max="6152" width="125" style="3" customWidth="1"/>
    <col min="6153" max="6166" width="11.7109375" style="3" customWidth="1"/>
    <col min="6167" max="6167" width="10.140625" style="3" bestFit="1" customWidth="1"/>
    <col min="6168" max="6400" width="8.7109375" style="3"/>
    <col min="6401" max="6401" width="38" style="3" customWidth="1"/>
    <col min="6402" max="6403" width="8.7109375" style="3"/>
    <col min="6404" max="6404" width="23.140625" style="3" customWidth="1"/>
    <col min="6405" max="6405" width="40.42578125" style="3" customWidth="1"/>
    <col min="6406" max="6406" width="10.5703125" style="3" customWidth="1"/>
    <col min="6407" max="6407" width="14" style="3" customWidth="1"/>
    <col min="6408" max="6408" width="125" style="3" customWidth="1"/>
    <col min="6409" max="6422" width="11.7109375" style="3" customWidth="1"/>
    <col min="6423" max="6423" width="10.140625" style="3" bestFit="1" customWidth="1"/>
    <col min="6424" max="6656" width="8.7109375" style="3"/>
    <col min="6657" max="6657" width="38" style="3" customWidth="1"/>
    <col min="6658" max="6659" width="8.7109375" style="3"/>
    <col min="6660" max="6660" width="23.140625" style="3" customWidth="1"/>
    <col min="6661" max="6661" width="40.42578125" style="3" customWidth="1"/>
    <col min="6662" max="6662" width="10.5703125" style="3" customWidth="1"/>
    <col min="6663" max="6663" width="14" style="3" customWidth="1"/>
    <col min="6664" max="6664" width="125" style="3" customWidth="1"/>
    <col min="6665" max="6678" width="11.7109375" style="3" customWidth="1"/>
    <col min="6679" max="6679" width="10.140625" style="3" bestFit="1" customWidth="1"/>
    <col min="6680" max="6912" width="8.7109375" style="3"/>
    <col min="6913" max="6913" width="38" style="3" customWidth="1"/>
    <col min="6914" max="6915" width="8.7109375" style="3"/>
    <col min="6916" max="6916" width="23.140625" style="3" customWidth="1"/>
    <col min="6917" max="6917" width="40.42578125" style="3" customWidth="1"/>
    <col min="6918" max="6918" width="10.5703125" style="3" customWidth="1"/>
    <col min="6919" max="6919" width="14" style="3" customWidth="1"/>
    <col min="6920" max="6920" width="125" style="3" customWidth="1"/>
    <col min="6921" max="6934" width="11.7109375" style="3" customWidth="1"/>
    <col min="6935" max="6935" width="10.140625" style="3" bestFit="1" customWidth="1"/>
    <col min="6936" max="7168" width="8.7109375" style="3"/>
    <col min="7169" max="7169" width="38" style="3" customWidth="1"/>
    <col min="7170" max="7171" width="8.7109375" style="3"/>
    <col min="7172" max="7172" width="23.140625" style="3" customWidth="1"/>
    <col min="7173" max="7173" width="40.42578125" style="3" customWidth="1"/>
    <col min="7174" max="7174" width="10.5703125" style="3" customWidth="1"/>
    <col min="7175" max="7175" width="14" style="3" customWidth="1"/>
    <col min="7176" max="7176" width="125" style="3" customWidth="1"/>
    <col min="7177" max="7190" width="11.7109375" style="3" customWidth="1"/>
    <col min="7191" max="7191" width="10.140625" style="3" bestFit="1" customWidth="1"/>
    <col min="7192" max="7424" width="8.7109375" style="3"/>
    <col min="7425" max="7425" width="38" style="3" customWidth="1"/>
    <col min="7426" max="7427" width="8.7109375" style="3"/>
    <col min="7428" max="7428" width="23.140625" style="3" customWidth="1"/>
    <col min="7429" max="7429" width="40.42578125" style="3" customWidth="1"/>
    <col min="7430" max="7430" width="10.5703125" style="3" customWidth="1"/>
    <col min="7431" max="7431" width="14" style="3" customWidth="1"/>
    <col min="7432" max="7432" width="125" style="3" customWidth="1"/>
    <col min="7433" max="7446" width="11.7109375" style="3" customWidth="1"/>
    <col min="7447" max="7447" width="10.140625" style="3" bestFit="1" customWidth="1"/>
    <col min="7448" max="7680" width="8.7109375" style="3"/>
    <col min="7681" max="7681" width="38" style="3" customWidth="1"/>
    <col min="7682" max="7683" width="8.7109375" style="3"/>
    <col min="7684" max="7684" width="23.140625" style="3" customWidth="1"/>
    <col min="7685" max="7685" width="40.42578125" style="3" customWidth="1"/>
    <col min="7686" max="7686" width="10.5703125" style="3" customWidth="1"/>
    <col min="7687" max="7687" width="14" style="3" customWidth="1"/>
    <col min="7688" max="7688" width="125" style="3" customWidth="1"/>
    <col min="7689" max="7702" width="11.7109375" style="3" customWidth="1"/>
    <col min="7703" max="7703" width="10.140625" style="3" bestFit="1" customWidth="1"/>
    <col min="7704" max="7936" width="8.7109375" style="3"/>
    <col min="7937" max="7937" width="38" style="3" customWidth="1"/>
    <col min="7938" max="7939" width="8.7109375" style="3"/>
    <col min="7940" max="7940" width="23.140625" style="3" customWidth="1"/>
    <col min="7941" max="7941" width="40.42578125" style="3" customWidth="1"/>
    <col min="7942" max="7942" width="10.5703125" style="3" customWidth="1"/>
    <col min="7943" max="7943" width="14" style="3" customWidth="1"/>
    <col min="7944" max="7944" width="125" style="3" customWidth="1"/>
    <col min="7945" max="7958" width="11.7109375" style="3" customWidth="1"/>
    <col min="7959" max="7959" width="10.140625" style="3" bestFit="1" customWidth="1"/>
    <col min="7960" max="8192" width="8.7109375" style="3"/>
    <col min="8193" max="8193" width="38" style="3" customWidth="1"/>
    <col min="8194" max="8195" width="8.7109375" style="3"/>
    <col min="8196" max="8196" width="23.140625" style="3" customWidth="1"/>
    <col min="8197" max="8197" width="40.42578125" style="3" customWidth="1"/>
    <col min="8198" max="8198" width="10.5703125" style="3" customWidth="1"/>
    <col min="8199" max="8199" width="14" style="3" customWidth="1"/>
    <col min="8200" max="8200" width="125" style="3" customWidth="1"/>
    <col min="8201" max="8214" width="11.7109375" style="3" customWidth="1"/>
    <col min="8215" max="8215" width="10.140625" style="3" bestFit="1" customWidth="1"/>
    <col min="8216" max="8448" width="8.7109375" style="3"/>
    <col min="8449" max="8449" width="38" style="3" customWidth="1"/>
    <col min="8450" max="8451" width="8.7109375" style="3"/>
    <col min="8452" max="8452" width="23.140625" style="3" customWidth="1"/>
    <col min="8453" max="8453" width="40.42578125" style="3" customWidth="1"/>
    <col min="8454" max="8454" width="10.5703125" style="3" customWidth="1"/>
    <col min="8455" max="8455" width="14" style="3" customWidth="1"/>
    <col min="8456" max="8456" width="125" style="3" customWidth="1"/>
    <col min="8457" max="8470" width="11.7109375" style="3" customWidth="1"/>
    <col min="8471" max="8471" width="10.140625" style="3" bestFit="1" customWidth="1"/>
    <col min="8472" max="8704" width="8.7109375" style="3"/>
    <col min="8705" max="8705" width="38" style="3" customWidth="1"/>
    <col min="8706" max="8707" width="8.7109375" style="3"/>
    <col min="8708" max="8708" width="23.140625" style="3" customWidth="1"/>
    <col min="8709" max="8709" width="40.42578125" style="3" customWidth="1"/>
    <col min="8710" max="8710" width="10.5703125" style="3" customWidth="1"/>
    <col min="8711" max="8711" width="14" style="3" customWidth="1"/>
    <col min="8712" max="8712" width="125" style="3" customWidth="1"/>
    <col min="8713" max="8726" width="11.7109375" style="3" customWidth="1"/>
    <col min="8727" max="8727" width="10.140625" style="3" bestFit="1" customWidth="1"/>
    <col min="8728" max="8960" width="8.7109375" style="3"/>
    <col min="8961" max="8961" width="38" style="3" customWidth="1"/>
    <col min="8962" max="8963" width="8.7109375" style="3"/>
    <col min="8964" max="8964" width="23.140625" style="3" customWidth="1"/>
    <col min="8965" max="8965" width="40.42578125" style="3" customWidth="1"/>
    <col min="8966" max="8966" width="10.5703125" style="3" customWidth="1"/>
    <col min="8967" max="8967" width="14" style="3" customWidth="1"/>
    <col min="8968" max="8968" width="125" style="3" customWidth="1"/>
    <col min="8969" max="8982" width="11.7109375" style="3" customWidth="1"/>
    <col min="8983" max="8983" width="10.140625" style="3" bestFit="1" customWidth="1"/>
    <col min="8984" max="9216" width="8.7109375" style="3"/>
    <col min="9217" max="9217" width="38" style="3" customWidth="1"/>
    <col min="9218" max="9219" width="8.7109375" style="3"/>
    <col min="9220" max="9220" width="23.140625" style="3" customWidth="1"/>
    <col min="9221" max="9221" width="40.42578125" style="3" customWidth="1"/>
    <col min="9222" max="9222" width="10.5703125" style="3" customWidth="1"/>
    <col min="9223" max="9223" width="14" style="3" customWidth="1"/>
    <col min="9224" max="9224" width="125" style="3" customWidth="1"/>
    <col min="9225" max="9238" width="11.7109375" style="3" customWidth="1"/>
    <col min="9239" max="9239" width="10.140625" style="3" bestFit="1" customWidth="1"/>
    <col min="9240" max="9472" width="8.7109375" style="3"/>
    <col min="9473" max="9473" width="38" style="3" customWidth="1"/>
    <col min="9474" max="9475" width="8.7109375" style="3"/>
    <col min="9476" max="9476" width="23.140625" style="3" customWidth="1"/>
    <col min="9477" max="9477" width="40.42578125" style="3" customWidth="1"/>
    <col min="9478" max="9478" width="10.5703125" style="3" customWidth="1"/>
    <col min="9479" max="9479" width="14" style="3" customWidth="1"/>
    <col min="9480" max="9480" width="125" style="3" customWidth="1"/>
    <col min="9481" max="9494" width="11.7109375" style="3" customWidth="1"/>
    <col min="9495" max="9495" width="10.140625" style="3" bestFit="1" customWidth="1"/>
    <col min="9496" max="9728" width="8.7109375" style="3"/>
    <col min="9729" max="9729" width="38" style="3" customWidth="1"/>
    <col min="9730" max="9731" width="8.7109375" style="3"/>
    <col min="9732" max="9732" width="23.140625" style="3" customWidth="1"/>
    <col min="9733" max="9733" width="40.42578125" style="3" customWidth="1"/>
    <col min="9734" max="9734" width="10.5703125" style="3" customWidth="1"/>
    <col min="9735" max="9735" width="14" style="3" customWidth="1"/>
    <col min="9736" max="9736" width="125" style="3" customWidth="1"/>
    <col min="9737" max="9750" width="11.7109375" style="3" customWidth="1"/>
    <col min="9751" max="9751" width="10.140625" style="3" bestFit="1" customWidth="1"/>
    <col min="9752" max="9984" width="8.7109375" style="3"/>
    <col min="9985" max="9985" width="38" style="3" customWidth="1"/>
    <col min="9986" max="9987" width="8.7109375" style="3"/>
    <col min="9988" max="9988" width="23.140625" style="3" customWidth="1"/>
    <col min="9989" max="9989" width="40.42578125" style="3" customWidth="1"/>
    <col min="9990" max="9990" width="10.5703125" style="3" customWidth="1"/>
    <col min="9991" max="9991" width="14" style="3" customWidth="1"/>
    <col min="9992" max="9992" width="125" style="3" customWidth="1"/>
    <col min="9993" max="10006" width="11.7109375" style="3" customWidth="1"/>
    <col min="10007" max="10007" width="10.140625" style="3" bestFit="1" customWidth="1"/>
    <col min="10008" max="10240" width="8.7109375" style="3"/>
    <col min="10241" max="10241" width="38" style="3" customWidth="1"/>
    <col min="10242" max="10243" width="8.7109375" style="3"/>
    <col min="10244" max="10244" width="23.140625" style="3" customWidth="1"/>
    <col min="10245" max="10245" width="40.42578125" style="3" customWidth="1"/>
    <col min="10246" max="10246" width="10.5703125" style="3" customWidth="1"/>
    <col min="10247" max="10247" width="14" style="3" customWidth="1"/>
    <col min="10248" max="10248" width="125" style="3" customWidth="1"/>
    <col min="10249" max="10262" width="11.7109375" style="3" customWidth="1"/>
    <col min="10263" max="10263" width="10.140625" style="3" bestFit="1" customWidth="1"/>
    <col min="10264" max="10496" width="8.7109375" style="3"/>
    <col min="10497" max="10497" width="38" style="3" customWidth="1"/>
    <col min="10498" max="10499" width="8.7109375" style="3"/>
    <col min="10500" max="10500" width="23.140625" style="3" customWidth="1"/>
    <col min="10501" max="10501" width="40.42578125" style="3" customWidth="1"/>
    <col min="10502" max="10502" width="10.5703125" style="3" customWidth="1"/>
    <col min="10503" max="10503" width="14" style="3" customWidth="1"/>
    <col min="10504" max="10504" width="125" style="3" customWidth="1"/>
    <col min="10505" max="10518" width="11.7109375" style="3" customWidth="1"/>
    <col min="10519" max="10519" width="10.140625" style="3" bestFit="1" customWidth="1"/>
    <col min="10520" max="10752" width="8.7109375" style="3"/>
    <col min="10753" max="10753" width="38" style="3" customWidth="1"/>
    <col min="10754" max="10755" width="8.7109375" style="3"/>
    <col min="10756" max="10756" width="23.140625" style="3" customWidth="1"/>
    <col min="10757" max="10757" width="40.42578125" style="3" customWidth="1"/>
    <col min="10758" max="10758" width="10.5703125" style="3" customWidth="1"/>
    <col min="10759" max="10759" width="14" style="3" customWidth="1"/>
    <col min="10760" max="10760" width="125" style="3" customWidth="1"/>
    <col min="10761" max="10774" width="11.7109375" style="3" customWidth="1"/>
    <col min="10775" max="10775" width="10.140625" style="3" bestFit="1" customWidth="1"/>
    <col min="10776" max="11008" width="8.7109375" style="3"/>
    <col min="11009" max="11009" width="38" style="3" customWidth="1"/>
    <col min="11010" max="11011" width="8.7109375" style="3"/>
    <col min="11012" max="11012" width="23.140625" style="3" customWidth="1"/>
    <col min="11013" max="11013" width="40.42578125" style="3" customWidth="1"/>
    <col min="11014" max="11014" width="10.5703125" style="3" customWidth="1"/>
    <col min="11015" max="11015" width="14" style="3" customWidth="1"/>
    <col min="11016" max="11016" width="125" style="3" customWidth="1"/>
    <col min="11017" max="11030" width="11.7109375" style="3" customWidth="1"/>
    <col min="11031" max="11031" width="10.140625" style="3" bestFit="1" customWidth="1"/>
    <col min="11032" max="11264" width="8.7109375" style="3"/>
    <col min="11265" max="11265" width="38" style="3" customWidth="1"/>
    <col min="11266" max="11267" width="8.7109375" style="3"/>
    <col min="11268" max="11268" width="23.140625" style="3" customWidth="1"/>
    <col min="11269" max="11269" width="40.42578125" style="3" customWidth="1"/>
    <col min="11270" max="11270" width="10.5703125" style="3" customWidth="1"/>
    <col min="11271" max="11271" width="14" style="3" customWidth="1"/>
    <col min="11272" max="11272" width="125" style="3" customWidth="1"/>
    <col min="11273" max="11286" width="11.7109375" style="3" customWidth="1"/>
    <col min="11287" max="11287" width="10.140625" style="3" bestFit="1" customWidth="1"/>
    <col min="11288" max="11520" width="8.7109375" style="3"/>
    <col min="11521" max="11521" width="38" style="3" customWidth="1"/>
    <col min="11522" max="11523" width="8.7109375" style="3"/>
    <col min="11524" max="11524" width="23.140625" style="3" customWidth="1"/>
    <col min="11525" max="11525" width="40.42578125" style="3" customWidth="1"/>
    <col min="11526" max="11526" width="10.5703125" style="3" customWidth="1"/>
    <col min="11527" max="11527" width="14" style="3" customWidth="1"/>
    <col min="11528" max="11528" width="125" style="3" customWidth="1"/>
    <col min="11529" max="11542" width="11.7109375" style="3" customWidth="1"/>
    <col min="11543" max="11543" width="10.140625" style="3" bestFit="1" customWidth="1"/>
    <col min="11544" max="11776" width="8.7109375" style="3"/>
    <col min="11777" max="11777" width="38" style="3" customWidth="1"/>
    <col min="11778" max="11779" width="8.7109375" style="3"/>
    <col min="11780" max="11780" width="23.140625" style="3" customWidth="1"/>
    <col min="11781" max="11781" width="40.42578125" style="3" customWidth="1"/>
    <col min="11782" max="11782" width="10.5703125" style="3" customWidth="1"/>
    <col min="11783" max="11783" width="14" style="3" customWidth="1"/>
    <col min="11784" max="11784" width="125" style="3" customWidth="1"/>
    <col min="11785" max="11798" width="11.7109375" style="3" customWidth="1"/>
    <col min="11799" max="11799" width="10.140625" style="3" bestFit="1" customWidth="1"/>
    <col min="11800" max="12032" width="8.7109375" style="3"/>
    <col min="12033" max="12033" width="38" style="3" customWidth="1"/>
    <col min="12034" max="12035" width="8.7109375" style="3"/>
    <col min="12036" max="12036" width="23.140625" style="3" customWidth="1"/>
    <col min="12037" max="12037" width="40.42578125" style="3" customWidth="1"/>
    <col min="12038" max="12038" width="10.5703125" style="3" customWidth="1"/>
    <col min="12039" max="12039" width="14" style="3" customWidth="1"/>
    <col min="12040" max="12040" width="125" style="3" customWidth="1"/>
    <col min="12041" max="12054" width="11.7109375" style="3" customWidth="1"/>
    <col min="12055" max="12055" width="10.140625" style="3" bestFit="1" customWidth="1"/>
    <col min="12056" max="12288" width="8.7109375" style="3"/>
    <col min="12289" max="12289" width="38" style="3" customWidth="1"/>
    <col min="12290" max="12291" width="8.7109375" style="3"/>
    <col min="12292" max="12292" width="23.140625" style="3" customWidth="1"/>
    <col min="12293" max="12293" width="40.42578125" style="3" customWidth="1"/>
    <col min="12294" max="12294" width="10.5703125" style="3" customWidth="1"/>
    <col min="12295" max="12295" width="14" style="3" customWidth="1"/>
    <col min="12296" max="12296" width="125" style="3" customWidth="1"/>
    <col min="12297" max="12310" width="11.7109375" style="3" customWidth="1"/>
    <col min="12311" max="12311" width="10.140625" style="3" bestFit="1" customWidth="1"/>
    <col min="12312" max="12544" width="8.7109375" style="3"/>
    <col min="12545" max="12545" width="38" style="3" customWidth="1"/>
    <col min="12546" max="12547" width="8.7109375" style="3"/>
    <col min="12548" max="12548" width="23.140625" style="3" customWidth="1"/>
    <col min="12549" max="12549" width="40.42578125" style="3" customWidth="1"/>
    <col min="12550" max="12550" width="10.5703125" style="3" customWidth="1"/>
    <col min="12551" max="12551" width="14" style="3" customWidth="1"/>
    <col min="12552" max="12552" width="125" style="3" customWidth="1"/>
    <col min="12553" max="12566" width="11.7109375" style="3" customWidth="1"/>
    <col min="12567" max="12567" width="10.140625" style="3" bestFit="1" customWidth="1"/>
    <col min="12568" max="12800" width="8.7109375" style="3"/>
    <col min="12801" max="12801" width="38" style="3" customWidth="1"/>
    <col min="12802" max="12803" width="8.7109375" style="3"/>
    <col min="12804" max="12804" width="23.140625" style="3" customWidth="1"/>
    <col min="12805" max="12805" width="40.42578125" style="3" customWidth="1"/>
    <col min="12806" max="12806" width="10.5703125" style="3" customWidth="1"/>
    <col min="12807" max="12807" width="14" style="3" customWidth="1"/>
    <col min="12808" max="12808" width="125" style="3" customWidth="1"/>
    <col min="12809" max="12822" width="11.7109375" style="3" customWidth="1"/>
    <col min="12823" max="12823" width="10.140625" style="3" bestFit="1" customWidth="1"/>
    <col min="12824" max="13056" width="8.7109375" style="3"/>
    <col min="13057" max="13057" width="38" style="3" customWidth="1"/>
    <col min="13058" max="13059" width="8.7109375" style="3"/>
    <col min="13060" max="13060" width="23.140625" style="3" customWidth="1"/>
    <col min="13061" max="13061" width="40.42578125" style="3" customWidth="1"/>
    <col min="13062" max="13062" width="10.5703125" style="3" customWidth="1"/>
    <col min="13063" max="13063" width="14" style="3" customWidth="1"/>
    <col min="13064" max="13064" width="125" style="3" customWidth="1"/>
    <col min="13065" max="13078" width="11.7109375" style="3" customWidth="1"/>
    <col min="13079" max="13079" width="10.140625" style="3" bestFit="1" customWidth="1"/>
    <col min="13080" max="13312" width="8.7109375" style="3"/>
    <col min="13313" max="13313" width="38" style="3" customWidth="1"/>
    <col min="13314" max="13315" width="8.7109375" style="3"/>
    <col min="13316" max="13316" width="23.140625" style="3" customWidth="1"/>
    <col min="13317" max="13317" width="40.42578125" style="3" customWidth="1"/>
    <col min="13318" max="13318" width="10.5703125" style="3" customWidth="1"/>
    <col min="13319" max="13319" width="14" style="3" customWidth="1"/>
    <col min="13320" max="13320" width="125" style="3" customWidth="1"/>
    <col min="13321" max="13334" width="11.7109375" style="3" customWidth="1"/>
    <col min="13335" max="13335" width="10.140625" style="3" bestFit="1" customWidth="1"/>
    <col min="13336" max="13568" width="8.7109375" style="3"/>
    <col min="13569" max="13569" width="38" style="3" customWidth="1"/>
    <col min="13570" max="13571" width="8.7109375" style="3"/>
    <col min="13572" max="13572" width="23.140625" style="3" customWidth="1"/>
    <col min="13573" max="13573" width="40.42578125" style="3" customWidth="1"/>
    <col min="13574" max="13574" width="10.5703125" style="3" customWidth="1"/>
    <col min="13575" max="13575" width="14" style="3" customWidth="1"/>
    <col min="13576" max="13576" width="125" style="3" customWidth="1"/>
    <col min="13577" max="13590" width="11.7109375" style="3" customWidth="1"/>
    <col min="13591" max="13591" width="10.140625" style="3" bestFit="1" customWidth="1"/>
    <col min="13592" max="13824" width="8.7109375" style="3"/>
    <col min="13825" max="13825" width="38" style="3" customWidth="1"/>
    <col min="13826" max="13827" width="8.7109375" style="3"/>
    <col min="13828" max="13828" width="23.140625" style="3" customWidth="1"/>
    <col min="13829" max="13829" width="40.42578125" style="3" customWidth="1"/>
    <col min="13830" max="13830" width="10.5703125" style="3" customWidth="1"/>
    <col min="13831" max="13831" width="14" style="3" customWidth="1"/>
    <col min="13832" max="13832" width="125" style="3" customWidth="1"/>
    <col min="13833" max="13846" width="11.7109375" style="3" customWidth="1"/>
    <col min="13847" max="13847" width="10.140625" style="3" bestFit="1" customWidth="1"/>
    <col min="13848" max="14080" width="8.7109375" style="3"/>
    <col min="14081" max="14081" width="38" style="3" customWidth="1"/>
    <col min="14082" max="14083" width="8.7109375" style="3"/>
    <col min="14084" max="14084" width="23.140625" style="3" customWidth="1"/>
    <col min="14085" max="14085" width="40.42578125" style="3" customWidth="1"/>
    <col min="14086" max="14086" width="10.5703125" style="3" customWidth="1"/>
    <col min="14087" max="14087" width="14" style="3" customWidth="1"/>
    <col min="14088" max="14088" width="125" style="3" customWidth="1"/>
    <col min="14089" max="14102" width="11.7109375" style="3" customWidth="1"/>
    <col min="14103" max="14103" width="10.140625" style="3" bestFit="1" customWidth="1"/>
    <col min="14104" max="14336" width="8.7109375" style="3"/>
    <col min="14337" max="14337" width="38" style="3" customWidth="1"/>
    <col min="14338" max="14339" width="8.7109375" style="3"/>
    <col min="14340" max="14340" width="23.140625" style="3" customWidth="1"/>
    <col min="14341" max="14341" width="40.42578125" style="3" customWidth="1"/>
    <col min="14342" max="14342" width="10.5703125" style="3" customWidth="1"/>
    <col min="14343" max="14343" width="14" style="3" customWidth="1"/>
    <col min="14344" max="14344" width="125" style="3" customWidth="1"/>
    <col min="14345" max="14358" width="11.7109375" style="3" customWidth="1"/>
    <col min="14359" max="14359" width="10.140625" style="3" bestFit="1" customWidth="1"/>
    <col min="14360" max="14592" width="8.7109375" style="3"/>
    <col min="14593" max="14593" width="38" style="3" customWidth="1"/>
    <col min="14594" max="14595" width="8.7109375" style="3"/>
    <col min="14596" max="14596" width="23.140625" style="3" customWidth="1"/>
    <col min="14597" max="14597" width="40.42578125" style="3" customWidth="1"/>
    <col min="14598" max="14598" width="10.5703125" style="3" customWidth="1"/>
    <col min="14599" max="14599" width="14" style="3" customWidth="1"/>
    <col min="14600" max="14600" width="125" style="3" customWidth="1"/>
    <col min="14601" max="14614" width="11.7109375" style="3" customWidth="1"/>
    <col min="14615" max="14615" width="10.140625" style="3" bestFit="1" customWidth="1"/>
    <col min="14616" max="14848" width="8.7109375" style="3"/>
    <col min="14849" max="14849" width="38" style="3" customWidth="1"/>
    <col min="14850" max="14851" width="8.7109375" style="3"/>
    <col min="14852" max="14852" width="23.140625" style="3" customWidth="1"/>
    <col min="14853" max="14853" width="40.42578125" style="3" customWidth="1"/>
    <col min="14854" max="14854" width="10.5703125" style="3" customWidth="1"/>
    <col min="14855" max="14855" width="14" style="3" customWidth="1"/>
    <col min="14856" max="14856" width="125" style="3" customWidth="1"/>
    <col min="14857" max="14870" width="11.7109375" style="3" customWidth="1"/>
    <col min="14871" max="14871" width="10.140625" style="3" bestFit="1" customWidth="1"/>
    <col min="14872" max="15104" width="8.7109375" style="3"/>
    <col min="15105" max="15105" width="38" style="3" customWidth="1"/>
    <col min="15106" max="15107" width="8.7109375" style="3"/>
    <col min="15108" max="15108" width="23.140625" style="3" customWidth="1"/>
    <col min="15109" max="15109" width="40.42578125" style="3" customWidth="1"/>
    <col min="15110" max="15110" width="10.5703125" style="3" customWidth="1"/>
    <col min="15111" max="15111" width="14" style="3" customWidth="1"/>
    <col min="15112" max="15112" width="125" style="3" customWidth="1"/>
    <col min="15113" max="15126" width="11.7109375" style="3" customWidth="1"/>
    <col min="15127" max="15127" width="10.140625" style="3" bestFit="1" customWidth="1"/>
    <col min="15128" max="15360" width="8.7109375" style="3"/>
    <col min="15361" max="15361" width="38" style="3" customWidth="1"/>
    <col min="15362" max="15363" width="8.7109375" style="3"/>
    <col min="15364" max="15364" width="23.140625" style="3" customWidth="1"/>
    <col min="15365" max="15365" width="40.42578125" style="3" customWidth="1"/>
    <col min="15366" max="15366" width="10.5703125" style="3" customWidth="1"/>
    <col min="15367" max="15367" width="14" style="3" customWidth="1"/>
    <col min="15368" max="15368" width="125" style="3" customWidth="1"/>
    <col min="15369" max="15382" width="11.7109375" style="3" customWidth="1"/>
    <col min="15383" max="15383" width="10.140625" style="3" bestFit="1" customWidth="1"/>
    <col min="15384" max="15616" width="8.7109375" style="3"/>
    <col min="15617" max="15617" width="38" style="3" customWidth="1"/>
    <col min="15618" max="15619" width="8.7109375" style="3"/>
    <col min="15620" max="15620" width="23.140625" style="3" customWidth="1"/>
    <col min="15621" max="15621" width="40.42578125" style="3" customWidth="1"/>
    <col min="15622" max="15622" width="10.5703125" style="3" customWidth="1"/>
    <col min="15623" max="15623" width="14" style="3" customWidth="1"/>
    <col min="15624" max="15624" width="125" style="3" customWidth="1"/>
    <col min="15625" max="15638" width="11.7109375" style="3" customWidth="1"/>
    <col min="15639" max="15639" width="10.140625" style="3" bestFit="1" customWidth="1"/>
    <col min="15640" max="15872" width="8.7109375" style="3"/>
    <col min="15873" max="15873" width="38" style="3" customWidth="1"/>
    <col min="15874" max="15875" width="8.7109375" style="3"/>
    <col min="15876" max="15876" width="23.140625" style="3" customWidth="1"/>
    <col min="15877" max="15877" width="40.42578125" style="3" customWidth="1"/>
    <col min="15878" max="15878" width="10.5703125" style="3" customWidth="1"/>
    <col min="15879" max="15879" width="14" style="3" customWidth="1"/>
    <col min="15880" max="15880" width="125" style="3" customWidth="1"/>
    <col min="15881" max="15894" width="11.7109375" style="3" customWidth="1"/>
    <col min="15895" max="15895" width="10.140625" style="3" bestFit="1" customWidth="1"/>
    <col min="15896" max="16128" width="8.7109375" style="3"/>
    <col min="16129" max="16129" width="38" style="3" customWidth="1"/>
    <col min="16130" max="16131" width="8.7109375" style="3"/>
    <col min="16132" max="16132" width="23.140625" style="3" customWidth="1"/>
    <col min="16133" max="16133" width="40.42578125" style="3" customWidth="1"/>
    <col min="16134" max="16134" width="10.5703125" style="3" customWidth="1"/>
    <col min="16135" max="16135" width="14" style="3" customWidth="1"/>
    <col min="16136" max="16136" width="125" style="3" customWidth="1"/>
    <col min="16137" max="16150" width="11.7109375" style="3" customWidth="1"/>
    <col min="16151" max="16151" width="10.140625" style="3" bestFit="1" customWidth="1"/>
    <col min="16152" max="16384" width="8.7109375" style="3"/>
  </cols>
  <sheetData>
    <row r="1" spans="1:9" ht="45" x14ac:dyDescent="0.6">
      <c r="A1" s="11" t="s">
        <v>221</v>
      </c>
      <c r="I1" s="12"/>
    </row>
    <row r="2" spans="1:9" ht="11.25" customHeight="1" x14ac:dyDescent="0.6">
      <c r="A2" s="11"/>
      <c r="I2" s="12"/>
    </row>
    <row r="3" spans="1:9" ht="20.100000000000001" customHeight="1" x14ac:dyDescent="0.3">
      <c r="A3" s="13" t="s">
        <v>14</v>
      </c>
      <c r="F3" s="13"/>
      <c r="I3" s="14"/>
    </row>
    <row r="4" spans="1:9" ht="20.100000000000001" customHeight="1" x14ac:dyDescent="0.3">
      <c r="A4" s="14"/>
      <c r="I4" s="14"/>
    </row>
    <row r="5" spans="1:9" ht="18" x14ac:dyDescent="0.25">
      <c r="A5" s="13" t="s">
        <v>15</v>
      </c>
      <c r="E5" s="6"/>
    </row>
    <row r="6" spans="1:9" ht="18" x14ac:dyDescent="0.25">
      <c r="A6" s="13"/>
      <c r="E6" s="6"/>
    </row>
    <row r="7" spans="1:9" ht="12.75" customHeight="1" x14ac:dyDescent="0.25">
      <c r="A7" s="15" t="s">
        <v>16</v>
      </c>
      <c r="B7" s="486" t="str">
        <f>IF('Proj.gegevens_invest.begroting'!D5&gt;0,'Proj.gegevens_invest.begroting'!D5,"")</f>
        <v/>
      </c>
      <c r="C7" s="487"/>
      <c r="D7" s="487"/>
      <c r="E7" s="488"/>
      <c r="F7" s="211"/>
    </row>
    <row r="8" spans="1:9" ht="12.75" customHeight="1" x14ac:dyDescent="0.25">
      <c r="A8" s="15"/>
      <c r="B8" s="211"/>
      <c r="F8" s="211"/>
    </row>
    <row r="9" spans="1:9" ht="26.25" customHeight="1" x14ac:dyDescent="0.25">
      <c r="A9" s="16" t="s">
        <v>257</v>
      </c>
      <c r="F9" s="212"/>
    </row>
    <row r="10" spans="1:9" ht="18" customHeight="1" x14ac:dyDescent="0.25">
      <c r="A10" s="213" t="str">
        <f>IF(Hulpblad_overig!B15=2,"U maakt gebruik van balansfinanciering","U maakt gebruik van projectfinanciering, u kunt regels 11 t/m 13 overslaan")</f>
        <v>U maakt gebruik van projectfinanciering, u kunt regels 11 t/m 13 overslaan</v>
      </c>
      <c r="F10" s="214"/>
    </row>
    <row r="11" spans="1:9" ht="12.75" customHeight="1" x14ac:dyDescent="0.25">
      <c r="A11" s="215" t="str">
        <f>IF(Hulpblad_overig!B15=2,"Wat is het eigen vermogen (€)?","Niet van toepassing")</f>
        <v>Niet van toepassing</v>
      </c>
      <c r="E11" s="69"/>
      <c r="F11" s="214"/>
    </row>
    <row r="12" spans="1:9" ht="12.75" customHeight="1" x14ac:dyDescent="0.25">
      <c r="A12" s="215" t="str">
        <f>IF(Hulpblad_overig!B15=2,"Wat is het rentedragende gefinancierde vermogen (€)?","Niet van toepassing")</f>
        <v>Niet van toepassing</v>
      </c>
      <c r="E12" s="70"/>
      <c r="F12" s="214"/>
    </row>
    <row r="13" spans="1:9" ht="12.75" customHeight="1" x14ac:dyDescent="0.25">
      <c r="A13" s="215" t="str">
        <f>IF(Hulpblad_overig!B15=2,"Berekend percentage eigen vermogen voor OWE aanvragen (exc. inv.subs.) (%)","Niet van toepassing")</f>
        <v>Niet van toepassing</v>
      </c>
      <c r="E13" s="216">
        <f>IF(Hulpblad_overig!B15=1,0,E11/(E11+E12))</f>
        <v>0</v>
      </c>
      <c r="F13" s="214"/>
      <c r="H13" s="217" t="str">
        <f>IF(AND(Hulpblad_overig!B15=2,E13&lt;20%),"U maakt gebruik van balansfinanciering met minder dan 20% eigen vermogen. Voeg intentieverklaringen toe van beoogde financiers voor het totaal benodigde vreemd vermogen","")</f>
        <v/>
      </c>
    </row>
    <row r="14" spans="1:9" ht="12.75" customHeight="1" x14ac:dyDescent="0.25">
      <c r="A14" s="215"/>
      <c r="E14" s="218"/>
      <c r="F14" s="214"/>
    </row>
    <row r="15" spans="1:9" ht="12.75" customHeight="1" x14ac:dyDescent="0.25">
      <c r="A15" s="215"/>
      <c r="E15" s="218"/>
      <c r="F15" s="214"/>
      <c r="H15" s="217" t="str">
        <f>IF(Hulpblad_overig!B22=1,"Voeg een jaarrekening toe",IF(Hulpblad_overig!B22=2,"Voeg een bedrijfsbalans met resultatenrekening toe",IF(Hulpblad_overig!B22=3,"Voeg een openingsbalans toe","")))</f>
        <v>Voeg een jaarrekening toe</v>
      </c>
    </row>
    <row r="16" spans="1:9" ht="12.75" customHeight="1" x14ac:dyDescent="0.25">
      <c r="A16" s="6" t="s">
        <v>17</v>
      </c>
      <c r="E16" s="218"/>
      <c r="F16" s="214"/>
    </row>
    <row r="17" spans="1:22" ht="12.75" customHeight="1" x14ac:dyDescent="0.25">
      <c r="A17" s="215"/>
      <c r="E17" s="218"/>
      <c r="F17" s="214"/>
    </row>
    <row r="18" spans="1:22" ht="14.25" customHeight="1" x14ac:dyDescent="0.25">
      <c r="A18" s="13"/>
    </row>
    <row r="19" spans="1:22" ht="12.75" customHeight="1" x14ac:dyDescent="0.25">
      <c r="A19" s="215" t="s">
        <v>18</v>
      </c>
      <c r="C19" s="219"/>
      <c r="D19" s="17"/>
      <c r="E19" s="68">
        <v>1</v>
      </c>
    </row>
    <row r="20" spans="1:22" ht="12.75" customHeight="1" x14ac:dyDescent="0.25">
      <c r="A20" s="215"/>
      <c r="C20" s="219"/>
      <c r="D20" s="17"/>
    </row>
    <row r="21" spans="1:22" ht="18" customHeight="1" x14ac:dyDescent="0.25">
      <c r="A21" s="13" t="s">
        <v>19</v>
      </c>
      <c r="B21" s="220"/>
      <c r="C21" s="221"/>
      <c r="D21" s="4"/>
      <c r="E21" s="222"/>
      <c r="F21" s="15"/>
      <c r="G21" s="18"/>
    </row>
    <row r="22" spans="1:22" ht="163.5" customHeight="1" x14ac:dyDescent="0.25">
      <c r="A22" s="6"/>
      <c r="B22" s="489"/>
      <c r="C22" s="490"/>
      <c r="D22" s="490"/>
      <c r="E22" s="490"/>
      <c r="F22" s="490"/>
      <c r="G22" s="491"/>
    </row>
    <row r="23" spans="1:22" ht="19.5" customHeight="1" x14ac:dyDescent="0.25">
      <c r="C23" s="219"/>
      <c r="D23" s="17"/>
      <c r="E23" s="17"/>
    </row>
    <row r="24" spans="1:22" ht="18" customHeight="1" x14ac:dyDescent="0.25">
      <c r="A24" s="13" t="s">
        <v>20</v>
      </c>
      <c r="C24" s="219"/>
      <c r="D24" s="17"/>
      <c r="E24" s="17"/>
    </row>
    <row r="25" spans="1:22" ht="163.5" customHeight="1" x14ac:dyDescent="0.25">
      <c r="A25" s="15"/>
      <c r="B25" s="492"/>
      <c r="C25" s="493"/>
      <c r="D25" s="493"/>
      <c r="E25" s="493"/>
      <c r="F25" s="494"/>
      <c r="G25" s="495"/>
    </row>
    <row r="26" spans="1:22" x14ac:dyDescent="0.25">
      <c r="A26" s="15"/>
      <c r="C26" s="219"/>
      <c r="D26" s="17"/>
      <c r="E26" s="17"/>
    </row>
    <row r="28" spans="1:22" ht="18" x14ac:dyDescent="0.25">
      <c r="A28" s="13" t="s">
        <v>21</v>
      </c>
    </row>
    <row r="29" spans="1:22" x14ac:dyDescent="0.25">
      <c r="A29" s="6" t="s">
        <v>22</v>
      </c>
    </row>
    <row r="30" spans="1:22" ht="12.75" customHeight="1" x14ac:dyDescent="0.25">
      <c r="B30" s="496" t="str">
        <f>IF('Proj.gegevens_invest.begroting'!D9&gt;0, 'Proj.gegevens_invest.begroting'!D9, "")</f>
        <v/>
      </c>
      <c r="C30" s="497"/>
      <c r="D30" s="497"/>
      <c r="E30" s="498"/>
      <c r="G30" s="223">
        <f>'Proj.gegevens_invest.begroting'!G140</f>
        <v>0</v>
      </c>
      <c r="H30" s="224" t="str">
        <f>IF(G30&gt;0,"Voeg eventueel offerte(s) toe voor "&amp;B30&amp;"","")</f>
        <v/>
      </c>
      <c r="I30" s="17"/>
      <c r="J30" s="17"/>
      <c r="K30" s="17"/>
      <c r="L30" s="17"/>
      <c r="M30" s="17"/>
      <c r="N30" s="17"/>
      <c r="O30" s="17"/>
      <c r="P30" s="17"/>
      <c r="Q30" s="17"/>
      <c r="R30" s="17"/>
      <c r="S30" s="17"/>
      <c r="T30" s="17"/>
      <c r="U30" s="17"/>
      <c r="V30" s="17"/>
    </row>
    <row r="31" spans="1:22" ht="12.75" customHeight="1" x14ac:dyDescent="0.25">
      <c r="B31" s="471"/>
      <c r="C31" s="472"/>
      <c r="D31" s="472"/>
      <c r="E31" s="473"/>
      <c r="G31" s="70">
        <v>0</v>
      </c>
      <c r="H31" s="224" t="str">
        <f t="shared" ref="H31:H37" si="0">IF(G31&gt;0,"Voeg eventueel offerte(s) toe voor "&amp;B31&amp;"","")</f>
        <v/>
      </c>
      <c r="I31" s="17"/>
      <c r="J31" s="17"/>
      <c r="K31" s="17"/>
      <c r="L31" s="17"/>
      <c r="M31" s="17"/>
      <c r="N31" s="17"/>
      <c r="O31" s="17"/>
      <c r="P31" s="17"/>
      <c r="Q31" s="17"/>
      <c r="R31" s="17"/>
      <c r="S31" s="17"/>
      <c r="T31" s="17"/>
      <c r="U31" s="17"/>
      <c r="V31" s="17"/>
    </row>
    <row r="32" spans="1:22" ht="12.75" customHeight="1" x14ac:dyDescent="0.25">
      <c r="B32" s="471"/>
      <c r="C32" s="472"/>
      <c r="D32" s="472"/>
      <c r="E32" s="473"/>
      <c r="G32" s="70">
        <v>0</v>
      </c>
      <c r="H32" s="224" t="str">
        <f t="shared" si="0"/>
        <v/>
      </c>
      <c r="I32" s="17"/>
      <c r="J32" s="17"/>
      <c r="K32" s="17"/>
      <c r="L32" s="17"/>
      <c r="M32" s="17"/>
      <c r="N32" s="17"/>
      <c r="O32" s="17"/>
      <c r="P32" s="17"/>
      <c r="Q32" s="17"/>
      <c r="R32" s="17"/>
      <c r="S32" s="17"/>
      <c r="T32" s="17"/>
      <c r="U32" s="17"/>
      <c r="V32" s="17"/>
    </row>
    <row r="33" spans="1:23" ht="12.75" customHeight="1" x14ac:dyDescent="0.25">
      <c r="B33" s="471"/>
      <c r="C33" s="472"/>
      <c r="D33" s="472"/>
      <c r="E33" s="473"/>
      <c r="G33" s="70">
        <v>0</v>
      </c>
      <c r="H33" s="224" t="str">
        <f t="shared" si="0"/>
        <v/>
      </c>
      <c r="I33" s="17"/>
      <c r="J33" s="17"/>
      <c r="K33" s="17"/>
      <c r="L33" s="17"/>
      <c r="M33" s="17"/>
      <c r="N33" s="17"/>
      <c r="O33" s="17"/>
      <c r="P33" s="17"/>
      <c r="Q33" s="17"/>
      <c r="R33" s="17"/>
      <c r="S33" s="17"/>
      <c r="T33" s="17"/>
      <c r="U33" s="17"/>
      <c r="V33" s="17"/>
    </row>
    <row r="34" spans="1:23" ht="12.75" customHeight="1" x14ac:dyDescent="0.25">
      <c r="B34" s="471"/>
      <c r="C34" s="472"/>
      <c r="D34" s="472"/>
      <c r="E34" s="473"/>
      <c r="G34" s="70">
        <v>0</v>
      </c>
      <c r="H34" s="224" t="str">
        <f t="shared" si="0"/>
        <v/>
      </c>
      <c r="I34" s="17"/>
      <c r="J34" s="17"/>
      <c r="K34" s="17"/>
      <c r="L34" s="17"/>
      <c r="M34" s="17"/>
      <c r="N34" s="17"/>
      <c r="O34" s="17"/>
      <c r="P34" s="17"/>
      <c r="Q34" s="17"/>
      <c r="R34" s="17"/>
      <c r="S34" s="17"/>
      <c r="T34" s="17"/>
      <c r="U34" s="17"/>
      <c r="V34" s="17"/>
    </row>
    <row r="35" spans="1:23" ht="12.75" customHeight="1" x14ac:dyDescent="0.25">
      <c r="B35" s="471"/>
      <c r="C35" s="472"/>
      <c r="D35" s="472"/>
      <c r="E35" s="473"/>
      <c r="G35" s="70">
        <v>0</v>
      </c>
      <c r="H35" s="224" t="str">
        <f t="shared" si="0"/>
        <v/>
      </c>
      <c r="I35" s="17"/>
      <c r="J35" s="17"/>
      <c r="K35" s="17"/>
      <c r="L35" s="17"/>
      <c r="M35" s="17"/>
      <c r="N35" s="17"/>
      <c r="O35" s="17"/>
      <c r="P35" s="17"/>
      <c r="Q35" s="17"/>
      <c r="R35" s="17"/>
      <c r="S35" s="17"/>
      <c r="T35" s="17"/>
      <c r="U35" s="17"/>
      <c r="V35" s="17"/>
    </row>
    <row r="36" spans="1:23" ht="12.75" customHeight="1" x14ac:dyDescent="0.25">
      <c r="B36" s="478"/>
      <c r="C36" s="479"/>
      <c r="D36" s="479"/>
      <c r="E36" s="480"/>
      <c r="G36" s="70">
        <v>0</v>
      </c>
      <c r="H36" s="224" t="str">
        <f t="shared" si="0"/>
        <v/>
      </c>
      <c r="I36" s="17"/>
      <c r="J36" s="17"/>
      <c r="K36" s="17"/>
      <c r="L36" s="17"/>
      <c r="M36" s="17"/>
      <c r="N36" s="17"/>
      <c r="O36" s="17"/>
      <c r="P36" s="17"/>
      <c r="Q36" s="17"/>
      <c r="R36" s="17"/>
      <c r="S36" s="17"/>
      <c r="T36" s="17"/>
      <c r="U36" s="17"/>
      <c r="V36" s="17"/>
    </row>
    <row r="37" spans="1:23" ht="12.75" customHeight="1" x14ac:dyDescent="0.25">
      <c r="A37" s="6"/>
      <c r="B37" s="481"/>
      <c r="C37" s="482"/>
      <c r="D37" s="482"/>
      <c r="E37" s="483"/>
      <c r="G37" s="71">
        <v>0</v>
      </c>
      <c r="H37" s="224" t="str">
        <f t="shared" si="0"/>
        <v/>
      </c>
      <c r="I37" s="17"/>
      <c r="J37" s="17"/>
      <c r="K37" s="17"/>
      <c r="L37" s="17"/>
      <c r="M37" s="17"/>
      <c r="N37" s="17"/>
      <c r="O37" s="17"/>
      <c r="P37" s="17"/>
      <c r="Q37" s="17"/>
      <c r="R37" s="17"/>
      <c r="S37" s="17"/>
      <c r="T37" s="17"/>
      <c r="U37" s="17"/>
      <c r="V37" s="17"/>
    </row>
    <row r="38" spans="1:23" ht="12.75" customHeight="1" x14ac:dyDescent="0.25">
      <c r="A38" s="6" t="s">
        <v>330</v>
      </c>
      <c r="B38" s="225"/>
      <c r="C38" s="225"/>
      <c r="D38" s="225"/>
      <c r="E38" s="225"/>
      <c r="G38" s="23">
        <f>SUM(G30:G37)</f>
        <v>0</v>
      </c>
      <c r="H38" s="224" t="str">
        <f>IF(G38&gt;30000000,"Voeg eventueel een liquiditeitsbegroting toe (planning wanneer u welke bedragen in het project gaat inbrengen)","")</f>
        <v/>
      </c>
      <c r="I38" s="20"/>
      <c r="J38" s="20"/>
      <c r="K38" s="20"/>
      <c r="L38" s="20"/>
      <c r="M38" s="20"/>
      <c r="N38" s="20"/>
      <c r="O38" s="20"/>
      <c r="P38" s="20"/>
      <c r="Q38" s="20"/>
      <c r="R38" s="20"/>
      <c r="S38" s="20"/>
      <c r="T38" s="20"/>
      <c r="U38" s="20"/>
      <c r="V38" s="20"/>
    </row>
    <row r="39" spans="1:23" s="15" customFormat="1" ht="12.75" customHeight="1" x14ac:dyDescent="0.25">
      <c r="A39" s="6" t="s">
        <v>331</v>
      </c>
      <c r="B39" s="3"/>
      <c r="C39" s="3"/>
      <c r="D39" s="3"/>
      <c r="E39" s="7"/>
      <c r="G39" s="231">
        <f>'Proj.gegevens_invest.begroting'!G153</f>
        <v>0</v>
      </c>
      <c r="H39" s="224"/>
      <c r="I39" s="20"/>
      <c r="J39" s="20"/>
      <c r="K39" s="20"/>
      <c r="L39" s="20"/>
      <c r="M39" s="20"/>
      <c r="N39" s="20"/>
      <c r="O39" s="20"/>
      <c r="P39" s="20"/>
      <c r="Q39" s="20"/>
      <c r="R39" s="20"/>
      <c r="S39" s="20"/>
      <c r="T39" s="20"/>
      <c r="U39" s="20"/>
      <c r="V39" s="20"/>
      <c r="W39" s="20"/>
    </row>
    <row r="40" spans="1:23" s="15" customFormat="1" ht="12.75" customHeight="1" x14ac:dyDescent="0.25">
      <c r="A40" s="6" t="s">
        <v>374</v>
      </c>
      <c r="B40" s="3"/>
      <c r="C40" s="3"/>
      <c r="D40" s="3"/>
      <c r="E40" s="7"/>
      <c r="G40" s="231">
        <f>'Proj.gegevens_invest.begroting'!G148+'Proj.gegevens_invest.begroting'!G149</f>
        <v>0</v>
      </c>
      <c r="H40" s="224" t="str">
        <f>IF(G40&gt;0,"Voeg de subsidiebeschikking(en) toe","")</f>
        <v/>
      </c>
      <c r="I40" s="20"/>
      <c r="J40" s="20"/>
      <c r="K40" s="20"/>
      <c r="L40" s="20"/>
      <c r="M40" s="20"/>
      <c r="N40" s="20"/>
      <c r="O40" s="20"/>
      <c r="P40" s="20"/>
      <c r="Q40" s="20"/>
      <c r="R40" s="20"/>
      <c r="S40" s="20"/>
      <c r="T40" s="20"/>
      <c r="U40" s="20"/>
      <c r="V40" s="20"/>
      <c r="W40" s="20"/>
    </row>
    <row r="41" spans="1:23" ht="12.75" customHeight="1" x14ac:dyDescent="0.25">
      <c r="A41" s="6" t="s">
        <v>332</v>
      </c>
      <c r="B41" s="225"/>
      <c r="C41" s="225"/>
      <c r="D41" s="225"/>
      <c r="E41" s="225"/>
      <c r="G41" s="19">
        <f>G38-G39-G40</f>
        <v>0</v>
      </c>
      <c r="H41" s="224"/>
      <c r="I41" s="20"/>
      <c r="J41" s="20"/>
      <c r="K41" s="20"/>
      <c r="L41" s="20"/>
      <c r="M41" s="20"/>
      <c r="N41" s="20"/>
      <c r="O41" s="20"/>
      <c r="P41" s="20"/>
      <c r="Q41" s="20"/>
      <c r="R41" s="20"/>
      <c r="S41" s="20"/>
      <c r="T41" s="20"/>
      <c r="U41" s="20"/>
      <c r="V41" s="20"/>
    </row>
    <row r="42" spans="1:23" ht="12.75" customHeight="1" x14ac:dyDescent="0.25"/>
    <row r="43" spans="1:23" ht="18" x14ac:dyDescent="0.25">
      <c r="A43" s="13" t="s">
        <v>23</v>
      </c>
    </row>
    <row r="44" spans="1:23" ht="18" x14ac:dyDescent="0.25">
      <c r="A44" s="13"/>
    </row>
    <row r="45" spans="1:23" ht="12.75" customHeight="1" x14ac:dyDescent="0.25">
      <c r="A45" s="228" t="str">
        <f>IF(Hulpblad_overig!B15=2,"Eigen vermogen over netto investering","Niet van toepassing")</f>
        <v>Niet van toepassing</v>
      </c>
    </row>
    <row r="46" spans="1:23" ht="12.75" customHeight="1" x14ac:dyDescent="0.25">
      <c r="A46" s="6" t="str">
        <f>IF(Hulpblad_overig!B15=2,"Benodigde financiering vanaf balans","Niet van toepassing")</f>
        <v>Niet van toepassing</v>
      </c>
      <c r="G46" s="349">
        <f>IF(Hulpblad_overig!B15=2,G41,0)</f>
        <v>0</v>
      </c>
    </row>
    <row r="47" spans="1:23" ht="12.75" customHeight="1" x14ac:dyDescent="0.25">
      <c r="A47" s="6" t="str">
        <f>IF(Hulpblad_overig!B15=2,"Waarvan eigen vermogen vanaf balans (€)","Niet van toepassing")</f>
        <v>Niet van toepassing</v>
      </c>
      <c r="G47" s="264">
        <f>IF(Hulpblad_overig!B15=2,G46*E13,0)</f>
        <v>0</v>
      </c>
    </row>
    <row r="48" spans="1:23" ht="12.75" customHeight="1" x14ac:dyDescent="0.25">
      <c r="A48" s="6" t="str">
        <f>IF(Hulpblad_overig!B15=2,"Waarvan vreemd vermogen (rentedragende financiering) vanaf balans (€)","Niet van toepassing")</f>
        <v>Niet van toepassing</v>
      </c>
      <c r="G48" s="227">
        <f>IF(Hulpblad_overig!B15=2,G46-G47,0)</f>
        <v>0</v>
      </c>
    </row>
    <row r="49" spans="1:23" ht="12.75" customHeight="1" x14ac:dyDescent="0.25">
      <c r="A49" s="15" t="str">
        <f>IF(Hulpblad_overig!B15=2,"Totale inbreng eigen vermogen voor OWE aanvragen (inclusief investeringssubsidie) (€)","Niet van toepassing")</f>
        <v>Niet van toepassing</v>
      </c>
      <c r="G49" s="350">
        <f>IF(Hulpblad_overig!B15=2,G47,0)</f>
        <v>0</v>
      </c>
    </row>
    <row r="50" spans="1:23" ht="12.75" customHeight="1" x14ac:dyDescent="0.25">
      <c r="A50" s="15"/>
      <c r="G50" s="350"/>
    </row>
    <row r="51" spans="1:23" ht="12.75" customHeight="1" x14ac:dyDescent="0.25">
      <c r="A51" s="6" t="str">
        <f>IF(Hulpblad_overig!B15=2,"Berekend percentage eigen vermogen voor OWE aanvragen (inclusief investeringssubsidie) (%)","Niet van toepassing")</f>
        <v>Niet van toepassing</v>
      </c>
      <c r="G51" s="218">
        <f>IF(Hulpblad_overig!B15=2,G49/G41,0)</f>
        <v>0</v>
      </c>
    </row>
    <row r="52" spans="1:23" ht="12.75" customHeight="1" x14ac:dyDescent="0.25">
      <c r="A52" s="6" t="str">
        <f>IF(Hulpblad_overig!B15=2,"Berekend percentage vreemd vermogen voor OWE aanvragen (%)","Niet van toepassing")</f>
        <v>Niet van toepassing</v>
      </c>
      <c r="G52" s="218">
        <f>IF(Hulpblad_overig!B15=2,G48/G41,0)</f>
        <v>0</v>
      </c>
    </row>
    <row r="53" spans="1:23" s="15" customFormat="1" ht="12.75" x14ac:dyDescent="0.2">
      <c r="G53" s="19"/>
      <c r="H53" s="20"/>
      <c r="I53" s="20"/>
      <c r="J53" s="20"/>
      <c r="K53" s="20"/>
      <c r="L53" s="20"/>
      <c r="M53" s="20"/>
      <c r="N53" s="20"/>
      <c r="O53" s="20"/>
      <c r="P53" s="20"/>
      <c r="Q53" s="20"/>
      <c r="R53" s="20"/>
      <c r="S53" s="20"/>
      <c r="T53" s="20"/>
      <c r="U53" s="20"/>
      <c r="V53" s="20"/>
      <c r="W53" s="20"/>
    </row>
    <row r="54" spans="1:23" s="15" customFormat="1" ht="18" x14ac:dyDescent="0.25">
      <c r="A54" s="484" t="str">
        <f>IF(Hulpblad_overig!B15=2,"U maakt gebruik van balansfinanciering, u kunt regels 48 t/m 98 overslaan","Invulblok voor projectfinanciering")</f>
        <v>Invulblok voor projectfinanciering</v>
      </c>
      <c r="B54" s="484"/>
      <c r="C54" s="485"/>
      <c r="D54" s="485"/>
      <c r="E54" s="485"/>
      <c r="G54" s="19"/>
      <c r="H54" s="20"/>
      <c r="I54" s="20"/>
      <c r="J54" s="20"/>
      <c r="K54" s="20"/>
      <c r="L54" s="20"/>
      <c r="M54" s="20"/>
      <c r="N54" s="20"/>
      <c r="O54" s="20"/>
      <c r="P54" s="20"/>
      <c r="Q54" s="20"/>
      <c r="R54" s="20"/>
      <c r="S54" s="20"/>
      <c r="T54" s="20"/>
      <c r="U54" s="20"/>
      <c r="V54" s="20"/>
      <c r="W54" s="20"/>
    </row>
    <row r="55" spans="1:23" s="15" customFormat="1" ht="18" x14ac:dyDescent="0.25">
      <c r="A55" s="13"/>
      <c r="B55" s="3"/>
      <c r="C55" s="3"/>
      <c r="D55" s="3"/>
      <c r="E55" s="3"/>
      <c r="G55" s="19"/>
      <c r="H55" s="20"/>
      <c r="I55" s="20"/>
      <c r="J55" s="20"/>
      <c r="K55" s="20"/>
      <c r="L55" s="20"/>
      <c r="M55" s="20"/>
      <c r="N55" s="20"/>
      <c r="O55" s="20"/>
      <c r="P55" s="20"/>
      <c r="Q55" s="20"/>
      <c r="R55" s="20"/>
      <c r="S55" s="20"/>
      <c r="T55" s="20"/>
      <c r="U55" s="20"/>
      <c r="V55" s="20"/>
      <c r="W55" s="20"/>
    </row>
    <row r="56" spans="1:23" s="15" customFormat="1" x14ac:dyDescent="0.25">
      <c r="A56" s="228" t="str">
        <f>IF(Hulpblad_overig!B15=1,"Eigen vermogen over netto investering","Niet van toepassing")</f>
        <v>Eigen vermogen over netto investering</v>
      </c>
      <c r="B56" s="3"/>
      <c r="C56" s="3"/>
      <c r="D56" s="3"/>
      <c r="E56" s="3"/>
      <c r="G56" s="19"/>
      <c r="H56" s="20"/>
      <c r="I56" s="20"/>
      <c r="J56" s="20"/>
      <c r="K56" s="20"/>
      <c r="L56" s="20"/>
      <c r="M56" s="20"/>
      <c r="N56" s="20"/>
      <c r="O56" s="20"/>
      <c r="P56" s="20"/>
      <c r="Q56" s="20"/>
      <c r="R56" s="20"/>
      <c r="S56" s="20"/>
      <c r="T56" s="20"/>
      <c r="U56" s="20"/>
      <c r="V56" s="20"/>
      <c r="W56" s="20"/>
    </row>
    <row r="57" spans="1:23" s="15" customFormat="1" ht="12.75" customHeight="1" x14ac:dyDescent="0.25">
      <c r="A57" s="6" t="str">
        <f>IF(Hulpblad_overig!B15=1,"Inbreng van eigen vermogen van de aanvrager zelf (€)","Niet van toepassing")</f>
        <v>Inbreng van eigen vermogen van de aanvrager zelf (€)</v>
      </c>
      <c r="B57" s="3"/>
      <c r="C57" s="3"/>
      <c r="D57" s="3"/>
      <c r="E57" s="7"/>
      <c r="G57" s="79">
        <v>0</v>
      </c>
      <c r="H57" s="224"/>
      <c r="I57" s="20"/>
      <c r="J57" s="20"/>
      <c r="K57" s="20"/>
      <c r="L57" s="20"/>
      <c r="M57" s="20"/>
      <c r="N57" s="20"/>
      <c r="O57" s="20"/>
      <c r="P57" s="20"/>
      <c r="Q57" s="20"/>
      <c r="R57" s="20"/>
      <c r="S57" s="20"/>
      <c r="T57" s="20"/>
      <c r="U57" s="20"/>
      <c r="V57" s="20"/>
      <c r="W57" s="20"/>
    </row>
    <row r="58" spans="1:23" s="15" customFormat="1" ht="12.75" customHeight="1" x14ac:dyDescent="0.2">
      <c r="A58" s="6"/>
      <c r="B58" s="229"/>
      <c r="C58" s="230"/>
      <c r="D58" s="230"/>
      <c r="E58" s="230"/>
      <c r="G58" s="231"/>
      <c r="H58" s="9"/>
      <c r="I58" s="20"/>
      <c r="J58" s="20"/>
      <c r="K58" s="20"/>
      <c r="L58" s="20"/>
      <c r="M58" s="20"/>
      <c r="N58" s="20"/>
      <c r="O58" s="20"/>
      <c r="P58" s="20"/>
      <c r="Q58" s="20"/>
      <c r="R58" s="20"/>
      <c r="S58" s="20"/>
      <c r="T58" s="20"/>
      <c r="U58" s="20"/>
      <c r="V58" s="20"/>
      <c r="W58" s="20"/>
    </row>
    <row r="59" spans="1:23" s="15" customFormat="1" ht="12.75" customHeight="1" x14ac:dyDescent="0.2">
      <c r="A59" s="6" t="str">
        <f>IF(Hulpblad_overig!B15=1,"Inbreng vermogen middels crowdfunding of participaties (€) (indien van toepassing)","Niet van toepassing")</f>
        <v>Inbreng vermogen middels crowdfunding of participaties (€) (indien van toepassing)</v>
      </c>
      <c r="B59" s="229"/>
      <c r="C59" s="230"/>
      <c r="D59" s="230"/>
      <c r="E59" s="230"/>
      <c r="G59" s="86">
        <v>0</v>
      </c>
      <c r="H59" s="217" t="str">
        <f>IF(G59&gt;0,"Voeg bijlage toe met een beschrijving of prospectus voor het crowdfunding- of participatieproject waaruit blijkt dat u dit vermogen kunt inbrengen","")</f>
        <v/>
      </c>
      <c r="I59" s="20"/>
      <c r="J59" s="20"/>
      <c r="K59" s="20"/>
      <c r="L59" s="20"/>
      <c r="M59" s="20"/>
      <c r="N59" s="20"/>
      <c r="O59" s="20"/>
      <c r="P59" s="20"/>
      <c r="Q59" s="20"/>
      <c r="R59" s="20"/>
      <c r="S59" s="20"/>
      <c r="T59" s="20"/>
      <c r="U59" s="20"/>
      <c r="V59" s="20"/>
      <c r="W59" s="20"/>
    </row>
    <row r="60" spans="1:23" s="15" customFormat="1" ht="12.75" customHeight="1" x14ac:dyDescent="0.2">
      <c r="A60" s="6"/>
      <c r="B60" s="229"/>
      <c r="C60" s="230"/>
      <c r="D60" s="230"/>
      <c r="E60" s="230"/>
      <c r="G60" s="231"/>
      <c r="H60" s="232"/>
      <c r="I60" s="20"/>
      <c r="J60" s="20"/>
      <c r="K60" s="20"/>
      <c r="L60" s="20"/>
      <c r="M60" s="20"/>
      <c r="N60" s="20"/>
      <c r="O60" s="20"/>
      <c r="P60" s="20"/>
      <c r="Q60" s="20"/>
      <c r="R60" s="20"/>
      <c r="S60" s="20"/>
      <c r="T60" s="20"/>
      <c r="U60" s="20"/>
      <c r="V60" s="20"/>
      <c r="W60" s="20"/>
    </row>
    <row r="61" spans="1:23" s="15" customFormat="1" ht="12.75" customHeight="1" x14ac:dyDescent="0.2">
      <c r="A61" s="6" t="str">
        <f>IF(Hulpblad_overig!B15=1,"Namen overige eigenvermogenverschaffers en inbreng (€) (indien van toepassing)","Niet van toepassing")</f>
        <v>Namen overige eigenvermogenverschaffers en inbreng (€) (indien van toepassing)</v>
      </c>
      <c r="B61" s="230"/>
      <c r="C61" s="230"/>
      <c r="D61" s="230"/>
      <c r="E61" s="231"/>
      <c r="G61" s="19"/>
      <c r="H61" s="9"/>
      <c r="I61" s="20"/>
      <c r="J61" s="20"/>
      <c r="K61" s="20"/>
      <c r="L61" s="20"/>
      <c r="M61" s="20"/>
      <c r="N61" s="20"/>
      <c r="O61" s="20"/>
      <c r="P61" s="20"/>
      <c r="Q61" s="20"/>
      <c r="R61" s="20"/>
      <c r="S61" s="20"/>
      <c r="T61" s="20"/>
      <c r="U61" s="20"/>
      <c r="V61" s="20"/>
      <c r="W61" s="20"/>
    </row>
    <row r="62" spans="1:23" s="15" customFormat="1" ht="12.75" customHeight="1" x14ac:dyDescent="0.2">
      <c r="A62" s="6"/>
      <c r="B62" s="468"/>
      <c r="C62" s="469"/>
      <c r="D62" s="469"/>
      <c r="E62" s="470"/>
      <c r="F62" s="230"/>
      <c r="G62" s="69">
        <v>0</v>
      </c>
      <c r="H62" s="224" t="str">
        <f t="shared" ref="H62:H71" si="1">IF(G62&gt;0,"Voeg contract toe en eventueel jaarrekening of bedrijfsbalans van " &amp;B62&amp;"","")</f>
        <v/>
      </c>
      <c r="I62" s="20"/>
      <c r="J62" s="20"/>
      <c r="K62" s="20"/>
      <c r="L62" s="20"/>
      <c r="M62" s="20"/>
      <c r="N62" s="20"/>
      <c r="O62" s="20"/>
      <c r="P62" s="20"/>
      <c r="Q62" s="20"/>
      <c r="R62" s="20"/>
      <c r="S62" s="20"/>
      <c r="T62" s="20"/>
      <c r="U62" s="20"/>
      <c r="V62" s="20"/>
      <c r="W62" s="20"/>
    </row>
    <row r="63" spans="1:23" s="15" customFormat="1" ht="12.75" customHeight="1" x14ac:dyDescent="0.2">
      <c r="A63" s="6"/>
      <c r="B63" s="471"/>
      <c r="C63" s="472"/>
      <c r="D63" s="472"/>
      <c r="E63" s="473"/>
      <c r="F63" s="230"/>
      <c r="G63" s="5">
        <v>0</v>
      </c>
      <c r="H63" s="224" t="str">
        <f t="shared" si="1"/>
        <v/>
      </c>
      <c r="I63" s="20"/>
      <c r="J63" s="20"/>
      <c r="K63" s="20"/>
      <c r="L63" s="20"/>
      <c r="M63" s="20"/>
      <c r="N63" s="20"/>
      <c r="O63" s="20"/>
      <c r="P63" s="20"/>
      <c r="Q63" s="20"/>
      <c r="R63" s="20"/>
      <c r="S63" s="20"/>
      <c r="T63" s="20"/>
      <c r="U63" s="20"/>
      <c r="V63" s="20"/>
      <c r="W63" s="20"/>
    </row>
    <row r="64" spans="1:23" s="15" customFormat="1" ht="12.75" customHeight="1" x14ac:dyDescent="0.2">
      <c r="A64" s="6"/>
      <c r="B64" s="471"/>
      <c r="C64" s="472"/>
      <c r="D64" s="472"/>
      <c r="E64" s="473"/>
      <c r="F64" s="230"/>
      <c r="G64" s="5">
        <v>0</v>
      </c>
      <c r="H64" s="224" t="str">
        <f t="shared" si="1"/>
        <v/>
      </c>
      <c r="I64" s="20"/>
      <c r="J64" s="20"/>
      <c r="K64" s="20"/>
      <c r="L64" s="20"/>
      <c r="M64" s="20"/>
      <c r="N64" s="20"/>
      <c r="O64" s="20"/>
      <c r="P64" s="20"/>
      <c r="Q64" s="20"/>
      <c r="R64" s="20"/>
      <c r="S64" s="20"/>
      <c r="T64" s="20"/>
      <c r="U64" s="20"/>
      <c r="V64" s="20"/>
      <c r="W64" s="20"/>
    </row>
    <row r="65" spans="1:23" s="15" customFormat="1" ht="12.75" customHeight="1" x14ac:dyDescent="0.2">
      <c r="A65" s="6"/>
      <c r="B65" s="471"/>
      <c r="C65" s="472"/>
      <c r="D65" s="472"/>
      <c r="E65" s="473"/>
      <c r="F65" s="230"/>
      <c r="G65" s="5">
        <v>0</v>
      </c>
      <c r="H65" s="224" t="str">
        <f t="shared" si="1"/>
        <v/>
      </c>
      <c r="I65" s="20"/>
      <c r="J65" s="20"/>
      <c r="K65" s="20"/>
      <c r="L65" s="20"/>
      <c r="M65" s="20"/>
      <c r="N65" s="20"/>
      <c r="O65" s="20"/>
      <c r="P65" s="20"/>
      <c r="Q65" s="20"/>
      <c r="R65" s="20"/>
      <c r="S65" s="20"/>
      <c r="T65" s="20"/>
      <c r="U65" s="20"/>
      <c r="V65" s="20"/>
      <c r="W65" s="20"/>
    </row>
    <row r="66" spans="1:23" s="15" customFormat="1" ht="12.75" customHeight="1" x14ac:dyDescent="0.2">
      <c r="A66" s="6"/>
      <c r="B66" s="471"/>
      <c r="C66" s="472"/>
      <c r="D66" s="472"/>
      <c r="E66" s="473"/>
      <c r="F66" s="230"/>
      <c r="G66" s="5">
        <v>0</v>
      </c>
      <c r="H66" s="224" t="str">
        <f t="shared" si="1"/>
        <v/>
      </c>
      <c r="I66" s="20"/>
      <c r="J66" s="20"/>
      <c r="K66" s="20"/>
      <c r="L66" s="20"/>
      <c r="M66" s="20"/>
      <c r="N66" s="20"/>
      <c r="O66" s="20"/>
      <c r="P66" s="20"/>
      <c r="Q66" s="20"/>
      <c r="R66" s="20"/>
      <c r="S66" s="20"/>
      <c r="T66" s="20"/>
      <c r="U66" s="20"/>
      <c r="V66" s="20"/>
      <c r="W66" s="20"/>
    </row>
    <row r="67" spans="1:23" s="15" customFormat="1" ht="12.75" customHeight="1" x14ac:dyDescent="0.2">
      <c r="A67" s="6"/>
      <c r="B67" s="471"/>
      <c r="C67" s="474"/>
      <c r="D67" s="474"/>
      <c r="E67" s="475"/>
      <c r="F67" s="230"/>
      <c r="G67" s="70">
        <v>0</v>
      </c>
      <c r="H67" s="224" t="str">
        <f t="shared" si="1"/>
        <v/>
      </c>
      <c r="I67" s="20"/>
      <c r="J67" s="20"/>
      <c r="K67" s="20"/>
      <c r="L67" s="20"/>
      <c r="M67" s="20"/>
      <c r="N67" s="20"/>
      <c r="O67" s="20"/>
      <c r="P67" s="20"/>
      <c r="Q67" s="20"/>
      <c r="R67" s="20"/>
      <c r="S67" s="20"/>
      <c r="T67" s="20"/>
      <c r="U67" s="20"/>
      <c r="V67" s="20"/>
      <c r="W67" s="20"/>
    </row>
    <row r="68" spans="1:23" s="15" customFormat="1" ht="12.75" customHeight="1" x14ac:dyDescent="0.2">
      <c r="A68" s="6"/>
      <c r="B68" s="471"/>
      <c r="C68" s="474"/>
      <c r="D68" s="474"/>
      <c r="E68" s="475"/>
      <c r="F68" s="230"/>
      <c r="G68" s="70">
        <v>0</v>
      </c>
      <c r="H68" s="224" t="str">
        <f t="shared" si="1"/>
        <v/>
      </c>
      <c r="I68" s="20"/>
      <c r="J68" s="20"/>
      <c r="K68" s="20"/>
      <c r="L68" s="20"/>
      <c r="M68" s="20"/>
      <c r="N68" s="20"/>
      <c r="O68" s="20"/>
      <c r="P68" s="20"/>
      <c r="Q68" s="20"/>
      <c r="R68" s="20"/>
      <c r="S68" s="20"/>
      <c r="T68" s="20"/>
      <c r="U68" s="20"/>
      <c r="V68" s="20"/>
      <c r="W68" s="20"/>
    </row>
    <row r="69" spans="1:23" s="15" customFormat="1" ht="12.75" customHeight="1" x14ac:dyDescent="0.2">
      <c r="A69" s="6"/>
      <c r="B69" s="471"/>
      <c r="C69" s="474"/>
      <c r="D69" s="474"/>
      <c r="E69" s="475"/>
      <c r="F69" s="230"/>
      <c r="G69" s="70">
        <v>0</v>
      </c>
      <c r="H69" s="224" t="str">
        <f t="shared" si="1"/>
        <v/>
      </c>
      <c r="I69" s="20"/>
      <c r="J69" s="20"/>
      <c r="K69" s="20"/>
      <c r="L69" s="20"/>
      <c r="M69" s="20"/>
      <c r="N69" s="20"/>
      <c r="O69" s="20"/>
      <c r="P69" s="20"/>
      <c r="Q69" s="20"/>
      <c r="R69" s="20"/>
      <c r="S69" s="20"/>
      <c r="T69" s="20"/>
      <c r="U69" s="20"/>
      <c r="V69" s="20"/>
      <c r="W69" s="20"/>
    </row>
    <row r="70" spans="1:23" s="15" customFormat="1" ht="12.75" customHeight="1" x14ac:dyDescent="0.2">
      <c r="A70" s="6"/>
      <c r="B70" s="471"/>
      <c r="C70" s="474"/>
      <c r="D70" s="474"/>
      <c r="E70" s="475"/>
      <c r="F70" s="230"/>
      <c r="G70" s="70">
        <v>0</v>
      </c>
      <c r="H70" s="224" t="str">
        <f t="shared" si="1"/>
        <v/>
      </c>
      <c r="I70" s="20"/>
      <c r="J70" s="20"/>
      <c r="K70" s="20"/>
      <c r="L70" s="20"/>
      <c r="M70" s="20"/>
      <c r="N70" s="20"/>
      <c r="O70" s="20"/>
      <c r="P70" s="20"/>
      <c r="Q70" s="20"/>
      <c r="R70" s="20"/>
      <c r="S70" s="20"/>
      <c r="T70" s="20"/>
      <c r="U70" s="20"/>
      <c r="V70" s="20"/>
      <c r="W70" s="20"/>
    </row>
    <row r="71" spans="1:23" s="15" customFormat="1" ht="12.75" customHeight="1" x14ac:dyDescent="0.2">
      <c r="A71" s="6"/>
      <c r="B71" s="465"/>
      <c r="C71" s="466"/>
      <c r="D71" s="466"/>
      <c r="E71" s="467"/>
      <c r="F71" s="230"/>
      <c r="G71" s="71">
        <v>0</v>
      </c>
      <c r="H71" s="224" t="str">
        <f t="shared" si="1"/>
        <v/>
      </c>
      <c r="I71" s="20"/>
      <c r="J71" s="20"/>
      <c r="K71" s="20"/>
      <c r="L71" s="20"/>
      <c r="M71" s="20"/>
      <c r="N71" s="20"/>
      <c r="O71" s="20"/>
      <c r="P71" s="20"/>
      <c r="Q71" s="20"/>
      <c r="R71" s="20"/>
      <c r="S71" s="20"/>
      <c r="T71" s="20"/>
      <c r="U71" s="20"/>
      <c r="V71" s="20"/>
      <c r="W71" s="20"/>
    </row>
    <row r="72" spans="1:23" s="15" customFormat="1" ht="12.75" customHeight="1" x14ac:dyDescent="0.2">
      <c r="A72" s="6" t="str">
        <f>IF(Hulpblad_overig!B15=1,"Namen verschaffers achtergestelde leningen en hoogte lening (€)","Niet van toepassing")</f>
        <v>Namen verschaffers achtergestelde leningen en hoogte lening (€)</v>
      </c>
      <c r="B72" s="6"/>
      <c r="C72" s="230"/>
      <c r="D72" s="230"/>
      <c r="E72" s="230"/>
      <c r="F72" s="230"/>
      <c r="G72" s="231"/>
      <c r="H72" s="9"/>
      <c r="I72" s="20"/>
      <c r="J72" s="20"/>
      <c r="K72" s="20"/>
      <c r="L72" s="20"/>
      <c r="M72" s="20"/>
      <c r="N72" s="20"/>
      <c r="O72" s="20"/>
      <c r="P72" s="20"/>
      <c r="Q72" s="20"/>
      <c r="R72" s="20"/>
      <c r="S72" s="20"/>
      <c r="T72" s="20"/>
      <c r="U72" s="20"/>
      <c r="V72" s="20"/>
      <c r="W72" s="20"/>
    </row>
    <row r="73" spans="1:23" s="15" customFormat="1" ht="12.75" customHeight="1" x14ac:dyDescent="0.2">
      <c r="A73" s="6"/>
      <c r="B73" s="468"/>
      <c r="C73" s="476"/>
      <c r="D73" s="476"/>
      <c r="E73" s="477"/>
      <c r="F73" s="230"/>
      <c r="G73" s="69">
        <v>0</v>
      </c>
      <c r="H73" s="224" t="str">
        <f>IF(G73&gt;0,"Voeg contract achtergestelde lening toe van " &amp;B73&amp;"","")</f>
        <v/>
      </c>
      <c r="I73" s="20"/>
      <c r="J73" s="20"/>
      <c r="K73" s="20"/>
      <c r="L73" s="20"/>
      <c r="M73" s="20"/>
      <c r="N73" s="20"/>
      <c r="O73" s="20"/>
      <c r="P73" s="20"/>
      <c r="Q73" s="20"/>
      <c r="R73" s="20"/>
      <c r="S73" s="20"/>
      <c r="T73" s="20"/>
      <c r="U73" s="20"/>
      <c r="V73" s="20"/>
      <c r="W73" s="20"/>
    </row>
    <row r="74" spans="1:23" s="15" customFormat="1" ht="12.75" customHeight="1" x14ac:dyDescent="0.2">
      <c r="A74" s="6"/>
      <c r="B74" s="471"/>
      <c r="C74" s="474"/>
      <c r="D74" s="474"/>
      <c r="E74" s="475"/>
      <c r="F74" s="230"/>
      <c r="G74" s="70">
        <v>0</v>
      </c>
      <c r="H74" s="224" t="str">
        <f>IF(G74&gt;0,"Voeg contract achtergestelde lening toe van " &amp;B74&amp;"","")</f>
        <v/>
      </c>
      <c r="I74" s="20"/>
      <c r="J74" s="20"/>
      <c r="K74" s="20"/>
      <c r="L74" s="20"/>
      <c r="M74" s="20"/>
      <c r="N74" s="20"/>
      <c r="O74" s="20"/>
      <c r="P74" s="20"/>
      <c r="Q74" s="20"/>
      <c r="R74" s="20"/>
      <c r="S74" s="20"/>
      <c r="T74" s="20"/>
      <c r="U74" s="20"/>
      <c r="V74" s="20"/>
      <c r="W74" s="20"/>
    </row>
    <row r="75" spans="1:23" s="15" customFormat="1" ht="12.75" customHeight="1" x14ac:dyDescent="0.2">
      <c r="A75" s="6"/>
      <c r="B75" s="471"/>
      <c r="C75" s="474"/>
      <c r="D75" s="474"/>
      <c r="E75" s="475"/>
      <c r="F75" s="230"/>
      <c r="G75" s="70">
        <v>0</v>
      </c>
      <c r="H75" s="224" t="str">
        <f>IF(G75&gt;0,"Voeg contract achtergestelde lening toe van " &amp;B75&amp;"","")</f>
        <v/>
      </c>
      <c r="I75" s="20"/>
      <c r="J75" s="20"/>
      <c r="K75" s="20"/>
      <c r="L75" s="20"/>
      <c r="M75" s="20"/>
      <c r="N75" s="20"/>
      <c r="O75" s="20"/>
      <c r="P75" s="20"/>
      <c r="Q75" s="20"/>
      <c r="R75" s="20"/>
      <c r="S75" s="20"/>
      <c r="T75" s="20"/>
      <c r="U75" s="20"/>
      <c r="V75" s="20"/>
      <c r="W75" s="20"/>
    </row>
    <row r="76" spans="1:23" s="15" customFormat="1" ht="12.75" customHeight="1" x14ac:dyDescent="0.2">
      <c r="A76" s="6"/>
      <c r="B76" s="471"/>
      <c r="C76" s="474"/>
      <c r="D76" s="474"/>
      <c r="E76" s="475"/>
      <c r="F76" s="230"/>
      <c r="G76" s="70">
        <v>0</v>
      </c>
      <c r="H76" s="224" t="str">
        <f>IF(G76&gt;0,"Voeg contract achtergestelde lening toe van " &amp;B76&amp;"","")</f>
        <v/>
      </c>
      <c r="I76" s="20"/>
      <c r="J76" s="20"/>
      <c r="K76" s="20"/>
      <c r="L76" s="20"/>
      <c r="M76" s="20"/>
      <c r="N76" s="20"/>
      <c r="O76" s="20"/>
      <c r="P76" s="20"/>
      <c r="Q76" s="20"/>
      <c r="R76" s="20"/>
      <c r="S76" s="20"/>
      <c r="T76" s="20"/>
      <c r="U76" s="20"/>
      <c r="V76" s="20"/>
      <c r="W76" s="20"/>
    </row>
    <row r="77" spans="1:23" s="15" customFormat="1" ht="12.75" customHeight="1" x14ac:dyDescent="0.2">
      <c r="A77" s="6"/>
      <c r="B77" s="465"/>
      <c r="C77" s="466"/>
      <c r="D77" s="466"/>
      <c r="E77" s="467"/>
      <c r="F77" s="230"/>
      <c r="G77" s="71">
        <v>0</v>
      </c>
      <c r="H77" s="224" t="str">
        <f>IF(G77&gt;0,"Voeg contract achtergestelde lening toe van " &amp;B77&amp;"","")</f>
        <v/>
      </c>
      <c r="I77" s="20"/>
      <c r="J77" s="20"/>
      <c r="K77" s="20"/>
      <c r="L77" s="20"/>
      <c r="M77" s="20"/>
      <c r="N77" s="20"/>
      <c r="O77" s="20"/>
      <c r="P77" s="20"/>
      <c r="Q77" s="20"/>
      <c r="R77" s="20"/>
      <c r="S77" s="20"/>
      <c r="T77" s="20"/>
      <c r="U77" s="20"/>
      <c r="V77" s="20"/>
      <c r="W77" s="20"/>
    </row>
    <row r="78" spans="1:23" s="15" customFormat="1" ht="12.75" customHeight="1" x14ac:dyDescent="0.2">
      <c r="A78" s="15" t="str">
        <f>IF(Hulpblad_overig!B15=1,"Totale inbreng van eigen vermogen (€)","Niet van toepassing")</f>
        <v>Totale inbreng van eigen vermogen (€)</v>
      </c>
      <c r="F78" s="230"/>
      <c r="G78" s="19">
        <f>G57+SUM(G58:G77)</f>
        <v>0</v>
      </c>
      <c r="H78" s="224"/>
      <c r="I78" s="20"/>
      <c r="J78" s="20"/>
      <c r="K78" s="20"/>
      <c r="L78" s="20"/>
      <c r="M78" s="20"/>
      <c r="N78" s="20"/>
      <c r="O78" s="20"/>
      <c r="P78" s="20"/>
      <c r="Q78" s="20"/>
      <c r="R78" s="20"/>
      <c r="S78" s="20"/>
      <c r="T78" s="20"/>
      <c r="U78" s="20"/>
      <c r="V78" s="20"/>
      <c r="W78" s="20"/>
    </row>
    <row r="79" spans="1:23" s="15" customFormat="1" ht="12.75" customHeight="1" x14ac:dyDescent="0.2">
      <c r="A79" s="6" t="str">
        <f>IF(Hulpblad_overig!B15=1,"Eigen vermogen in te brengen in dit project of projecten (%)","Niet van toepassing")</f>
        <v>Eigen vermogen in te brengen in dit project of projecten (%)</v>
      </c>
      <c r="B79" s="230"/>
      <c r="C79" s="230"/>
      <c r="D79" s="230"/>
      <c r="G79" s="233" t="e">
        <f>G78/G41</f>
        <v>#DIV/0!</v>
      </c>
      <c r="H79" s="224" t="e">
        <f>IF(AND(Hulpblad_overig!B15=1,G79&lt;20%),"U brengt minder dan 20% eigen vermogen in. Voeg intentieverklaringen toe van beoogde financiers voor het totaal benodigde vreemd vermogen","")</f>
        <v>#DIV/0!</v>
      </c>
      <c r="I79" s="20"/>
      <c r="J79" s="20"/>
      <c r="K79" s="20"/>
      <c r="L79" s="20"/>
      <c r="M79" s="20"/>
      <c r="N79" s="20"/>
      <c r="O79" s="20"/>
      <c r="P79" s="20"/>
      <c r="Q79" s="20"/>
      <c r="R79" s="20"/>
      <c r="S79" s="20"/>
      <c r="T79" s="20"/>
      <c r="U79" s="20"/>
      <c r="V79" s="20"/>
      <c r="W79" s="20"/>
    </row>
    <row r="80" spans="1:23" s="15" customFormat="1" ht="12.75" customHeight="1" x14ac:dyDescent="0.2">
      <c r="G80" s="19"/>
      <c r="H80" s="20"/>
      <c r="I80" s="20"/>
      <c r="J80" s="20"/>
      <c r="K80" s="20"/>
      <c r="L80" s="20"/>
      <c r="M80" s="20"/>
      <c r="N80" s="20"/>
      <c r="O80" s="20"/>
      <c r="P80" s="20"/>
      <c r="Q80" s="20"/>
      <c r="R80" s="20"/>
      <c r="S80" s="20"/>
      <c r="T80" s="20"/>
      <c r="U80" s="20"/>
      <c r="V80" s="20"/>
      <c r="W80" s="20"/>
    </row>
    <row r="81" spans="1:23" s="15" customFormat="1" ht="12.75" customHeight="1" x14ac:dyDescent="0.2">
      <c r="A81" s="15" t="str">
        <f>IF(Hulpblad_overig!B15=1,"Vreemd vermogen of lease","Niet van toepassing")</f>
        <v>Vreemd vermogen of lease</v>
      </c>
      <c r="G81" s="19"/>
      <c r="H81" s="20"/>
      <c r="I81" s="20"/>
      <c r="J81" s="20"/>
      <c r="K81" s="20"/>
      <c r="L81" s="20"/>
      <c r="M81" s="20"/>
      <c r="N81" s="20"/>
      <c r="O81" s="20"/>
      <c r="P81" s="20"/>
      <c r="Q81" s="20"/>
      <c r="R81" s="20"/>
      <c r="S81" s="20"/>
      <c r="T81" s="20"/>
      <c r="U81" s="20"/>
      <c r="V81" s="20"/>
      <c r="W81" s="20"/>
    </row>
    <row r="82" spans="1:23" s="230" customFormat="1" ht="12.75" customHeight="1" x14ac:dyDescent="0.2"/>
    <row r="83" spans="1:23" s="15" customFormat="1" ht="12.75" customHeight="1" x14ac:dyDescent="0.2">
      <c r="A83" s="6" t="str">
        <f>IF(Hulpblad_overig!B15=1,"Namen beoogde financiers (eventueel leasemaatschappij) en hoogte lening (€) (indien van toepassing)","Niet van toepassing")</f>
        <v>Namen beoogde financiers (eventueel leasemaatschappij) en hoogte lening (€) (indien van toepassing)</v>
      </c>
      <c r="B83" s="230"/>
      <c r="C83" s="230"/>
      <c r="D83" s="230"/>
      <c r="E83" s="231"/>
      <c r="G83" s="19"/>
      <c r="H83" s="20"/>
      <c r="I83" s="20"/>
      <c r="J83" s="20"/>
      <c r="K83" s="20"/>
      <c r="L83" s="20"/>
      <c r="M83" s="20"/>
      <c r="N83" s="20"/>
      <c r="O83" s="20"/>
      <c r="P83" s="20"/>
      <c r="Q83" s="20"/>
      <c r="R83" s="20"/>
      <c r="S83" s="20"/>
      <c r="T83" s="20"/>
      <c r="U83" s="20"/>
      <c r="V83" s="20"/>
      <c r="W83" s="20"/>
    </row>
    <row r="84" spans="1:23" s="15" customFormat="1" ht="12.75" customHeight="1" x14ac:dyDescent="0.2">
      <c r="A84" s="6"/>
      <c r="B84" s="468"/>
      <c r="C84" s="469"/>
      <c r="D84" s="469"/>
      <c r="E84" s="470"/>
      <c r="G84" s="69">
        <v>0</v>
      </c>
      <c r="H84" s="224" t="e">
        <f t="shared" ref="H84:H93" si="2">IF(AND(G84&gt;0,$G$79&gt;20%),
"Voeg eventueel contract, offerte of intentieverklaring toe van "&amp;B84&amp;"",
IF(AND($G$79&lt;20%,G84&gt;0),"Voeg contract, offerte of intentieverklaring toe van "&amp;B84&amp;"",""))</f>
        <v>#DIV/0!</v>
      </c>
      <c r="I84" s="20"/>
      <c r="J84" s="20"/>
      <c r="K84" s="20"/>
      <c r="L84" s="20"/>
      <c r="M84" s="20"/>
      <c r="N84" s="20"/>
      <c r="O84" s="20"/>
      <c r="P84" s="20"/>
      <c r="Q84" s="20"/>
      <c r="R84" s="20"/>
      <c r="S84" s="20"/>
      <c r="T84" s="20"/>
      <c r="U84" s="20"/>
      <c r="V84" s="20"/>
      <c r="W84" s="20"/>
    </row>
    <row r="85" spans="1:23" s="15" customFormat="1" ht="12.75" customHeight="1" x14ac:dyDescent="0.2">
      <c r="A85" s="6"/>
      <c r="B85" s="471"/>
      <c r="C85" s="472"/>
      <c r="D85" s="472"/>
      <c r="E85" s="473"/>
      <c r="G85" s="5">
        <v>0</v>
      </c>
      <c r="H85" s="224" t="e">
        <f t="shared" si="2"/>
        <v>#DIV/0!</v>
      </c>
      <c r="I85" s="20"/>
      <c r="J85" s="20"/>
      <c r="K85" s="20"/>
      <c r="L85" s="20"/>
      <c r="M85" s="20"/>
      <c r="N85" s="20"/>
      <c r="O85" s="20"/>
      <c r="P85" s="20"/>
      <c r="Q85" s="20"/>
      <c r="R85" s="20"/>
      <c r="S85" s="20"/>
      <c r="T85" s="20"/>
      <c r="U85" s="20"/>
      <c r="V85" s="20"/>
      <c r="W85" s="20"/>
    </row>
    <row r="86" spans="1:23" s="15" customFormat="1" ht="12.75" customHeight="1" x14ac:dyDescent="0.2">
      <c r="A86" s="6"/>
      <c r="B86" s="471"/>
      <c r="C86" s="472"/>
      <c r="D86" s="472"/>
      <c r="E86" s="473"/>
      <c r="G86" s="5">
        <v>0</v>
      </c>
      <c r="H86" s="224" t="e">
        <f t="shared" si="2"/>
        <v>#DIV/0!</v>
      </c>
      <c r="I86" s="20"/>
      <c r="J86" s="20"/>
      <c r="K86" s="20"/>
      <c r="L86" s="20"/>
      <c r="M86" s="20"/>
      <c r="N86" s="20"/>
      <c r="O86" s="20"/>
      <c r="P86" s="20"/>
      <c r="Q86" s="20"/>
      <c r="R86" s="20"/>
      <c r="S86" s="20"/>
      <c r="T86" s="20"/>
      <c r="U86" s="20"/>
      <c r="V86" s="20"/>
      <c r="W86" s="20"/>
    </row>
    <row r="87" spans="1:23" s="15" customFormat="1" ht="12.75" customHeight="1" x14ac:dyDescent="0.2">
      <c r="A87" s="6"/>
      <c r="B87" s="471"/>
      <c r="C87" s="472"/>
      <c r="D87" s="472"/>
      <c r="E87" s="473"/>
      <c r="G87" s="5">
        <v>0</v>
      </c>
      <c r="H87" s="224" t="e">
        <f t="shared" si="2"/>
        <v>#DIV/0!</v>
      </c>
      <c r="I87" s="20"/>
      <c r="J87" s="20"/>
      <c r="K87" s="20"/>
      <c r="L87" s="20"/>
      <c r="M87" s="20"/>
      <c r="N87" s="20"/>
      <c r="O87" s="20"/>
      <c r="P87" s="20"/>
      <c r="Q87" s="20"/>
      <c r="R87" s="20"/>
      <c r="S87" s="20"/>
      <c r="T87" s="20"/>
      <c r="U87" s="20"/>
      <c r="V87" s="20"/>
      <c r="W87" s="20"/>
    </row>
    <row r="88" spans="1:23" s="15" customFormat="1" ht="12.75" customHeight="1" x14ac:dyDescent="0.2">
      <c r="A88" s="6"/>
      <c r="B88" s="471"/>
      <c r="C88" s="472"/>
      <c r="D88" s="472"/>
      <c r="E88" s="473"/>
      <c r="G88" s="5">
        <v>0</v>
      </c>
      <c r="H88" s="224" t="e">
        <f t="shared" si="2"/>
        <v>#DIV/0!</v>
      </c>
      <c r="I88" s="20"/>
      <c r="J88" s="20"/>
      <c r="K88" s="20"/>
      <c r="L88" s="20"/>
      <c r="M88" s="20"/>
      <c r="N88" s="20"/>
      <c r="O88" s="20"/>
      <c r="P88" s="20"/>
      <c r="Q88" s="20"/>
      <c r="R88" s="20"/>
      <c r="S88" s="20"/>
      <c r="T88" s="20"/>
      <c r="U88" s="20"/>
      <c r="V88" s="20"/>
      <c r="W88" s="20"/>
    </row>
    <row r="89" spans="1:23" s="15" customFormat="1" ht="12.75" customHeight="1" x14ac:dyDescent="0.2">
      <c r="A89" s="6"/>
      <c r="B89" s="471"/>
      <c r="C89" s="474"/>
      <c r="D89" s="474"/>
      <c r="E89" s="475"/>
      <c r="G89" s="70">
        <v>0</v>
      </c>
      <c r="H89" s="224" t="e">
        <f t="shared" si="2"/>
        <v>#DIV/0!</v>
      </c>
      <c r="I89" s="20"/>
      <c r="J89" s="20"/>
      <c r="K89" s="20"/>
      <c r="L89" s="20"/>
      <c r="M89" s="20"/>
      <c r="N89" s="20"/>
      <c r="O89" s="20"/>
      <c r="P89" s="20"/>
      <c r="Q89" s="20"/>
      <c r="R89" s="20"/>
      <c r="S89" s="20"/>
      <c r="T89" s="20"/>
      <c r="U89" s="20"/>
      <c r="V89" s="20"/>
      <c r="W89" s="20"/>
    </row>
    <row r="90" spans="1:23" s="15" customFormat="1" ht="12.75" customHeight="1" x14ac:dyDescent="0.2">
      <c r="A90" s="6"/>
      <c r="B90" s="471"/>
      <c r="C90" s="474"/>
      <c r="D90" s="474"/>
      <c r="E90" s="475"/>
      <c r="G90" s="70">
        <v>0</v>
      </c>
      <c r="H90" s="224" t="e">
        <f t="shared" si="2"/>
        <v>#DIV/0!</v>
      </c>
      <c r="I90" s="20"/>
      <c r="J90" s="20"/>
      <c r="K90" s="20"/>
      <c r="L90" s="20"/>
      <c r="M90" s="20"/>
      <c r="N90" s="20"/>
      <c r="O90" s="20"/>
      <c r="P90" s="20"/>
      <c r="Q90" s="20"/>
      <c r="R90" s="20"/>
      <c r="S90" s="20"/>
      <c r="T90" s="20"/>
      <c r="U90" s="20"/>
      <c r="V90" s="20"/>
      <c r="W90" s="20"/>
    </row>
    <row r="91" spans="1:23" s="15" customFormat="1" ht="12.75" customHeight="1" x14ac:dyDescent="0.2">
      <c r="A91" s="6"/>
      <c r="B91" s="471"/>
      <c r="C91" s="474"/>
      <c r="D91" s="474"/>
      <c r="E91" s="475"/>
      <c r="G91" s="70">
        <v>0</v>
      </c>
      <c r="H91" s="224" t="e">
        <f t="shared" si="2"/>
        <v>#DIV/0!</v>
      </c>
      <c r="I91" s="20"/>
      <c r="J91" s="20"/>
      <c r="K91" s="20"/>
      <c r="L91" s="20"/>
      <c r="M91" s="20"/>
      <c r="N91" s="20"/>
      <c r="O91" s="20"/>
      <c r="P91" s="20"/>
      <c r="Q91" s="20"/>
      <c r="R91" s="20"/>
      <c r="S91" s="20"/>
      <c r="T91" s="20"/>
      <c r="U91" s="20"/>
      <c r="V91" s="20"/>
      <c r="W91" s="20"/>
    </row>
    <row r="92" spans="1:23" s="15" customFormat="1" ht="12.75" customHeight="1" x14ac:dyDescent="0.2">
      <c r="A92" s="6"/>
      <c r="B92" s="471"/>
      <c r="C92" s="474"/>
      <c r="D92" s="474"/>
      <c r="E92" s="475"/>
      <c r="G92" s="70">
        <v>0</v>
      </c>
      <c r="H92" s="224" t="e">
        <f t="shared" si="2"/>
        <v>#DIV/0!</v>
      </c>
      <c r="I92" s="20"/>
      <c r="J92" s="20"/>
      <c r="K92" s="20"/>
      <c r="L92" s="20"/>
      <c r="M92" s="20"/>
      <c r="N92" s="20"/>
      <c r="O92" s="20"/>
      <c r="P92" s="20"/>
      <c r="Q92" s="20"/>
      <c r="R92" s="20"/>
      <c r="S92" s="20"/>
      <c r="T92" s="20"/>
      <c r="U92" s="20"/>
      <c r="V92" s="20"/>
      <c r="W92" s="20"/>
    </row>
    <row r="93" spans="1:23" s="230" customFormat="1" ht="12.75" customHeight="1" x14ac:dyDescent="0.2">
      <c r="B93" s="465"/>
      <c r="C93" s="466"/>
      <c r="D93" s="466"/>
      <c r="E93" s="467"/>
      <c r="G93" s="71">
        <v>0</v>
      </c>
      <c r="H93" s="224" t="e">
        <f t="shared" si="2"/>
        <v>#DIV/0!</v>
      </c>
      <c r="I93" s="234"/>
      <c r="J93" s="234"/>
      <c r="K93" s="234"/>
      <c r="L93" s="234"/>
      <c r="M93" s="234"/>
      <c r="N93" s="234"/>
      <c r="O93" s="234"/>
      <c r="P93" s="234"/>
      <c r="Q93" s="234"/>
      <c r="R93" s="234"/>
      <c r="S93" s="234"/>
      <c r="T93" s="234"/>
      <c r="U93" s="234"/>
      <c r="V93" s="234"/>
    </row>
    <row r="94" spans="1:23" s="230" customFormat="1" ht="12.75" customHeight="1" x14ac:dyDescent="0.2">
      <c r="A94" s="15" t="str">
        <f>IF(Hulpblad_overig!B15=1,"Totaal van het gespecificeerde vreemd vermogen","Niet van toepassing")</f>
        <v>Totaal van het gespecificeerde vreemd vermogen</v>
      </c>
      <c r="G94" s="19">
        <f>SUM(G84:G93)</f>
        <v>0</v>
      </c>
      <c r="H94" s="224"/>
    </row>
    <row r="95" spans="1:23" s="230" customFormat="1" ht="12.75" customHeight="1" x14ac:dyDescent="0.2">
      <c r="A95" s="15" t="str">
        <f>IF(Hulpblad_overig!B15=1,"Ongespecificeerde rest van het vreemd vermogen","Niet van toepassing")</f>
        <v>Ongespecificeerde rest van het vreemd vermogen</v>
      </c>
      <c r="G95" s="19">
        <f>IF(Hulpblad_overig!B15=1,G41-G78-G94,0)</f>
        <v>0</v>
      </c>
      <c r="H95" s="224" t="e">
        <f>IF(Hulpblad_overig!B15=1,IF(AND(G95&gt;0,G79&lt;20%),"Ongespecificeerde rest moet nul zijn",""))</f>
        <v>#DIV/0!</v>
      </c>
    </row>
    <row r="96" spans="1:23" s="230" customFormat="1" ht="12.75" customHeight="1" x14ac:dyDescent="0.2">
      <c r="G96" s="19"/>
      <c r="H96" s="224"/>
    </row>
    <row r="97" spans="1:23" s="15" customFormat="1" ht="12.75" customHeight="1" x14ac:dyDescent="0.2">
      <c r="A97" s="6" t="str">
        <f>IF(Hulpblad_overig!B15=1,"Vreemd vermogen (%)","Niet van toepassing")</f>
        <v>Vreemd vermogen (%)</v>
      </c>
      <c r="B97" s="230"/>
      <c r="C97" s="230"/>
      <c r="D97" s="230"/>
      <c r="G97" s="325" t="e">
        <f>(G94+G95)/G41</f>
        <v>#DIV/0!</v>
      </c>
      <c r="H97" s="20"/>
      <c r="I97" s="20"/>
      <c r="J97" s="20"/>
      <c r="K97" s="20"/>
      <c r="L97" s="20"/>
      <c r="M97" s="20"/>
      <c r="N97" s="20"/>
      <c r="O97" s="20"/>
      <c r="P97" s="20"/>
      <c r="Q97" s="20"/>
      <c r="R97" s="20"/>
      <c r="S97" s="20"/>
      <c r="T97" s="20"/>
      <c r="U97" s="20"/>
      <c r="V97" s="20"/>
      <c r="W97" s="20"/>
    </row>
    <row r="98" spans="1:23" s="15" customFormat="1" ht="12.75" customHeight="1" x14ac:dyDescent="0.2">
      <c r="A98" s="6" t="str">
        <f>IF(Hulpblad_overig!B15=1,"Totaal vreemd vermogen (€)","Niet van toepassing")</f>
        <v>Totaal vreemd vermogen (€)</v>
      </c>
      <c r="B98" s="230"/>
      <c r="C98" s="230"/>
      <c r="D98" s="230"/>
      <c r="G98" s="231" t="e">
        <f>G41*G97</f>
        <v>#DIV/0!</v>
      </c>
      <c r="H98" s="20"/>
      <c r="I98" s="20"/>
      <c r="J98" s="20"/>
      <c r="K98" s="20"/>
      <c r="L98" s="20"/>
      <c r="M98" s="20"/>
      <c r="N98" s="20"/>
      <c r="O98" s="20"/>
      <c r="P98" s="20"/>
      <c r="Q98" s="20"/>
      <c r="R98" s="20"/>
      <c r="S98" s="20"/>
      <c r="T98" s="20"/>
      <c r="U98" s="20"/>
      <c r="V98" s="20"/>
      <c r="W98" s="20"/>
    </row>
    <row r="99" spans="1:23" s="230" customFormat="1" ht="12.75" customHeight="1" x14ac:dyDescent="0.2">
      <c r="G99" s="19"/>
      <c r="H99" s="224"/>
    </row>
    <row r="100" spans="1:23" s="230" customFormat="1" ht="12.75" customHeight="1" x14ac:dyDescent="0.2">
      <c r="A100" s="15" t="s">
        <v>24</v>
      </c>
    </row>
    <row r="101" spans="1:23" ht="137.25" customHeight="1" x14ac:dyDescent="0.25">
      <c r="A101" s="461"/>
      <c r="B101" s="462"/>
      <c r="C101" s="462"/>
      <c r="D101" s="462"/>
      <c r="E101" s="462"/>
      <c r="F101" s="463"/>
      <c r="G101" s="464"/>
    </row>
  </sheetData>
  <sheetProtection algorithmName="SHA-512" hashValue="cQWIF6eb9laC8IgOygUBDbVnAIVXNHzhIui1g2NeLdgUnXsNOJIBOVFXHht+TQNMry2l7sDuLsW9EdrSa+ZEKA==" saltValue="+5xqXTz8i91ucDlCwxQhWw==" spinCount="100000" sheet="1" objects="1" scenarios="1"/>
  <mergeCells count="38">
    <mergeCell ref="B32:E32"/>
    <mergeCell ref="B7:E7"/>
    <mergeCell ref="B22:G22"/>
    <mergeCell ref="B25:G25"/>
    <mergeCell ref="B30:E30"/>
    <mergeCell ref="B31:E31"/>
    <mergeCell ref="B63:E63"/>
    <mergeCell ref="B33:E33"/>
    <mergeCell ref="B34:E34"/>
    <mergeCell ref="B35:E35"/>
    <mergeCell ref="B36:E36"/>
    <mergeCell ref="B37:E37"/>
    <mergeCell ref="A54:E54"/>
    <mergeCell ref="B62:E62"/>
    <mergeCell ref="B76:E76"/>
    <mergeCell ref="B64:E64"/>
    <mergeCell ref="B65:E65"/>
    <mergeCell ref="B66:E66"/>
    <mergeCell ref="B67:E67"/>
    <mergeCell ref="B68:E68"/>
    <mergeCell ref="B69:E69"/>
    <mergeCell ref="B70:E70"/>
    <mergeCell ref="B71:E71"/>
    <mergeCell ref="B73:E73"/>
    <mergeCell ref="B74:E74"/>
    <mergeCell ref="B75:E75"/>
    <mergeCell ref="A101:G101"/>
    <mergeCell ref="B77:E77"/>
    <mergeCell ref="B84:E84"/>
    <mergeCell ref="B85:E85"/>
    <mergeCell ref="B86:E86"/>
    <mergeCell ref="B87:E87"/>
    <mergeCell ref="B88:E88"/>
    <mergeCell ref="B89:E89"/>
    <mergeCell ref="B90:E90"/>
    <mergeCell ref="B91:E91"/>
    <mergeCell ref="B92:E92"/>
    <mergeCell ref="B93:E93"/>
  </mergeCells>
  <conditionalFormatting sqref="B62:E62">
    <cfRule type="expression" dxfId="233" priority="62" stopIfTrue="1">
      <formula>A10="U maakt gebruik van balansfinanciering"</formula>
    </cfRule>
  </conditionalFormatting>
  <conditionalFormatting sqref="B63:E63">
    <cfRule type="expression" dxfId="232" priority="59" stopIfTrue="1">
      <formula>A10="U maakt gebruik van balansfinanciering"</formula>
    </cfRule>
  </conditionalFormatting>
  <conditionalFormatting sqref="B64:E64">
    <cfRule type="expression" dxfId="231" priority="58" stopIfTrue="1">
      <formula>A10="U maakt gebruik van balansfinanciering"</formula>
    </cfRule>
  </conditionalFormatting>
  <conditionalFormatting sqref="B65:E65">
    <cfRule type="expression" dxfId="230" priority="57" stopIfTrue="1">
      <formula>A10="U maakt gebruik van balansfinanciering"</formula>
    </cfRule>
  </conditionalFormatting>
  <conditionalFormatting sqref="B66:E66">
    <cfRule type="expression" dxfId="229" priority="56" stopIfTrue="1">
      <formula>A10="U maakt gebruik van balansfinanciering"</formula>
    </cfRule>
  </conditionalFormatting>
  <conditionalFormatting sqref="B67:E67">
    <cfRule type="expression" dxfId="228" priority="55" stopIfTrue="1">
      <formula>A10="U maakt gebruik van balansfinanciering"</formula>
    </cfRule>
  </conditionalFormatting>
  <conditionalFormatting sqref="B68:E68">
    <cfRule type="expression" dxfId="227" priority="54" stopIfTrue="1">
      <formula>A10="U maakt gebruik van balansfinanciering"</formula>
    </cfRule>
  </conditionalFormatting>
  <conditionalFormatting sqref="B69:E69">
    <cfRule type="expression" dxfId="226" priority="53" stopIfTrue="1">
      <formula>A10="U maakt gebruik van balansfinanciering"</formula>
    </cfRule>
  </conditionalFormatting>
  <conditionalFormatting sqref="B70:E70">
    <cfRule type="expression" dxfId="225" priority="52" stopIfTrue="1">
      <formula>A10="U maakt gebruik van balansfinanciering"</formula>
    </cfRule>
  </conditionalFormatting>
  <conditionalFormatting sqref="B71:E71">
    <cfRule type="expression" dxfId="224" priority="51" stopIfTrue="1">
      <formula>A10="U maakt gebruik van balansfinanciering"</formula>
    </cfRule>
  </conditionalFormatting>
  <conditionalFormatting sqref="B73:E73">
    <cfRule type="expression" dxfId="223" priority="40" stopIfTrue="1">
      <formula>A10="U maakt gebruik van balansfinanciering"</formula>
    </cfRule>
  </conditionalFormatting>
  <conditionalFormatting sqref="B74:E74">
    <cfRule type="expression" dxfId="222" priority="39" stopIfTrue="1">
      <formula>A10="U maakt gebruik van balansfinanciering"</formula>
    </cfRule>
  </conditionalFormatting>
  <conditionalFormatting sqref="B75:E75">
    <cfRule type="expression" dxfId="221" priority="38" stopIfTrue="1">
      <formula>A10="U maakt gebruik van balansfinanciering"</formula>
    </cfRule>
  </conditionalFormatting>
  <conditionalFormatting sqref="B76:E76">
    <cfRule type="expression" dxfId="220" priority="37" stopIfTrue="1">
      <formula>A10="U maakt gebruik van balansfinanciering"</formula>
    </cfRule>
  </conditionalFormatting>
  <conditionalFormatting sqref="B77:E77">
    <cfRule type="expression" dxfId="219" priority="36" stopIfTrue="1">
      <formula>A10="U maakt gebruik van balansfinanciering"</formula>
    </cfRule>
  </conditionalFormatting>
  <conditionalFormatting sqref="B84:E84">
    <cfRule type="expression" dxfId="218" priority="29" stopIfTrue="1">
      <formula>A10="U maakt gebruik van balansfinanciering"</formula>
    </cfRule>
  </conditionalFormatting>
  <conditionalFormatting sqref="B85:E85">
    <cfRule type="expression" dxfId="217" priority="28" stopIfTrue="1">
      <formula>A10="U maakt gebruik van balansfinanciering"</formula>
    </cfRule>
  </conditionalFormatting>
  <conditionalFormatting sqref="B86:E86">
    <cfRule type="expression" dxfId="216" priority="27" stopIfTrue="1">
      <formula>A10="U maakt gebruik van balansfinanciering"</formula>
    </cfRule>
  </conditionalFormatting>
  <conditionalFormatting sqref="B87:E87">
    <cfRule type="expression" dxfId="215" priority="26" stopIfTrue="1">
      <formula>A10="U maakt gebruik van balansfinanciering"</formula>
    </cfRule>
  </conditionalFormatting>
  <conditionalFormatting sqref="B88:E88">
    <cfRule type="expression" dxfId="214" priority="25" stopIfTrue="1">
      <formula>A10="U maakt gebruik van balansfinanciering"</formula>
    </cfRule>
  </conditionalFormatting>
  <conditionalFormatting sqref="B89:E89">
    <cfRule type="expression" dxfId="213" priority="24" stopIfTrue="1">
      <formula>A10="U maakt gebruik van balansfinanciering"</formula>
    </cfRule>
  </conditionalFormatting>
  <conditionalFormatting sqref="B90:E90">
    <cfRule type="expression" dxfId="212" priority="23" stopIfTrue="1">
      <formula>A10="U maakt gebruik van balansfinanciering"</formula>
    </cfRule>
  </conditionalFormatting>
  <conditionalFormatting sqref="B91:E91">
    <cfRule type="expression" dxfId="211" priority="22" stopIfTrue="1">
      <formula>A10="U maakt gebruik van balansfinanciering"</formula>
    </cfRule>
  </conditionalFormatting>
  <conditionalFormatting sqref="B92:E92">
    <cfRule type="expression" priority="21" stopIfTrue="1">
      <formula>A10="U maakt gebruik van balansfinanciering"</formula>
    </cfRule>
    <cfRule type="expression" dxfId="210" priority="20" stopIfTrue="1">
      <formula>A10="U maakt gebruik van balansfinanciering"</formula>
    </cfRule>
  </conditionalFormatting>
  <conditionalFormatting sqref="B93:E93">
    <cfRule type="expression" dxfId="209" priority="19" stopIfTrue="1">
      <formula>A10="U maakt gebruik van balansfinanciering"</formula>
    </cfRule>
  </conditionalFormatting>
  <conditionalFormatting sqref="E11">
    <cfRule type="expression" dxfId="208" priority="61" stopIfTrue="1">
      <formula>A10="U maakt gebruik van projectfinanciering, u kunt regel 11 t/m 13 overslaan"</formula>
    </cfRule>
  </conditionalFormatting>
  <conditionalFormatting sqref="E11:E12">
    <cfRule type="expression" dxfId="207" priority="6">
      <formula>A11="Niet van toepassing"</formula>
    </cfRule>
  </conditionalFormatting>
  <conditionalFormatting sqref="E12">
    <cfRule type="expression" dxfId="206" priority="60" stopIfTrue="1">
      <formula>A10="U maakt gebruik van projectfinanciering, u kunt regel 11 t/m 13 overslaan"</formula>
    </cfRule>
  </conditionalFormatting>
  <conditionalFormatting sqref="G57">
    <cfRule type="expression" dxfId="205" priority="64" stopIfTrue="1">
      <formula>A10="U maakt gebruik van balansfinanciering"</formula>
    </cfRule>
  </conditionalFormatting>
  <conditionalFormatting sqref="G59">
    <cfRule type="expression" dxfId="204" priority="63" stopIfTrue="1">
      <formula>A10="U maakt gebruik van balansfinanciering"</formula>
    </cfRule>
  </conditionalFormatting>
  <conditionalFormatting sqref="G62">
    <cfRule type="expression" dxfId="203" priority="50" stopIfTrue="1">
      <formula>A10="U maakt gebruik van balansfinanciering"</formula>
    </cfRule>
  </conditionalFormatting>
  <conditionalFormatting sqref="G63">
    <cfRule type="expression" dxfId="202" priority="49" stopIfTrue="1">
      <formula>A10="U maakt gebruik van balansfinanciering"</formula>
    </cfRule>
  </conditionalFormatting>
  <conditionalFormatting sqref="G64">
    <cfRule type="expression" dxfId="201" priority="48" stopIfTrue="1">
      <formula>A10="U maakt gebruik van balansfinanciering"</formula>
    </cfRule>
  </conditionalFormatting>
  <conditionalFormatting sqref="G65">
    <cfRule type="expression" dxfId="200" priority="47" stopIfTrue="1">
      <formula>A10="U maakt gebruik van balansfinanciering"</formula>
    </cfRule>
  </conditionalFormatting>
  <conditionalFormatting sqref="G66">
    <cfRule type="expression" dxfId="199" priority="46" stopIfTrue="1">
      <formula>A10="U maakt gebruik van balansfinanciering"</formula>
    </cfRule>
  </conditionalFormatting>
  <conditionalFormatting sqref="G67">
    <cfRule type="expression" dxfId="198" priority="45" stopIfTrue="1">
      <formula>A10="U maakt gebruik van balansfinanciering"</formula>
    </cfRule>
  </conditionalFormatting>
  <conditionalFormatting sqref="G68">
    <cfRule type="expression" dxfId="197" priority="44" stopIfTrue="1">
      <formula>A10="U maakt gebruik van balansfinanciering"</formula>
    </cfRule>
  </conditionalFormatting>
  <conditionalFormatting sqref="G69">
    <cfRule type="expression" dxfId="196" priority="43" stopIfTrue="1">
      <formula>A10="U maakt gebruik van balansfinanciering"</formula>
    </cfRule>
  </conditionalFormatting>
  <conditionalFormatting sqref="G70">
    <cfRule type="expression" dxfId="195" priority="42" stopIfTrue="1">
      <formula>A10="U maakt gebruik van balansfinanciering"</formula>
    </cfRule>
  </conditionalFormatting>
  <conditionalFormatting sqref="G71">
    <cfRule type="expression" dxfId="194" priority="41" stopIfTrue="1">
      <formula>A10="U maakt gebruik van balansfinanciering"</formula>
    </cfRule>
  </conditionalFormatting>
  <conditionalFormatting sqref="G73">
    <cfRule type="expression" dxfId="193" priority="35" stopIfTrue="1">
      <formula>A10="U maakt gebruik van balansfinanciering"</formula>
    </cfRule>
  </conditionalFormatting>
  <conditionalFormatting sqref="G74">
    <cfRule type="expression" priority="34" stopIfTrue="1">
      <formula>A10="U maakt gebruik van balansfinanciering"</formula>
    </cfRule>
    <cfRule type="expression" dxfId="192" priority="33" stopIfTrue="1">
      <formula>A10="U maakt gebruik van balansfinanciering"</formula>
    </cfRule>
  </conditionalFormatting>
  <conditionalFormatting sqref="G75">
    <cfRule type="expression" dxfId="191" priority="32" stopIfTrue="1">
      <formula>A10="U maakt gebruik van balansfinanciering"</formula>
    </cfRule>
  </conditionalFormatting>
  <conditionalFormatting sqref="G76">
    <cfRule type="expression" dxfId="190" priority="31" stopIfTrue="1">
      <formula>A10="U maakt gebruik van balansfinanciering"</formula>
    </cfRule>
  </conditionalFormatting>
  <conditionalFormatting sqref="G77">
    <cfRule type="expression" dxfId="189" priority="30" stopIfTrue="1">
      <formula>A10="U maakt gebruik van balansfinanciering"</formula>
    </cfRule>
  </conditionalFormatting>
  <conditionalFormatting sqref="G84">
    <cfRule type="expression" dxfId="188" priority="18" stopIfTrue="1">
      <formula>A10="U maakt gebruik van balansfinanciering"</formula>
    </cfRule>
  </conditionalFormatting>
  <conditionalFormatting sqref="G85">
    <cfRule type="expression" dxfId="187" priority="17" stopIfTrue="1">
      <formula>A10="U maakt gebruik van balansfinanciering"</formula>
    </cfRule>
  </conditionalFormatting>
  <conditionalFormatting sqref="G86">
    <cfRule type="expression" dxfId="186" priority="16" stopIfTrue="1">
      <formula>A10="U maakt gebruik van balansfinanciering"</formula>
    </cfRule>
  </conditionalFormatting>
  <conditionalFormatting sqref="G87">
    <cfRule type="expression" dxfId="185" priority="15" stopIfTrue="1">
      <formula>A10="U maakt gebruik van balansfinanciering"</formula>
    </cfRule>
  </conditionalFormatting>
  <conditionalFormatting sqref="G88">
    <cfRule type="expression" dxfId="184" priority="14" stopIfTrue="1">
      <formula>A10="U maakt gebruik van balansfinanciering"</formula>
    </cfRule>
  </conditionalFormatting>
  <conditionalFormatting sqref="G89">
    <cfRule type="expression" dxfId="183" priority="13" stopIfTrue="1">
      <formula>A10="U maakt gebruik van balansfinanciering"</formula>
    </cfRule>
  </conditionalFormatting>
  <conditionalFormatting sqref="G90">
    <cfRule type="expression" dxfId="182" priority="12" stopIfTrue="1">
      <formula>A10="U maakt gebruik van balansfinanciering"</formula>
    </cfRule>
  </conditionalFormatting>
  <conditionalFormatting sqref="G91">
    <cfRule type="expression" dxfId="181" priority="11" stopIfTrue="1">
      <formula>A10="U maakt gebruik van balansfinanciering"</formula>
    </cfRule>
  </conditionalFormatting>
  <conditionalFormatting sqref="G92">
    <cfRule type="expression" dxfId="180" priority="10" stopIfTrue="1">
      <formula>A10="U maakt gebruik van balansfinanciering"</formula>
    </cfRule>
  </conditionalFormatting>
  <conditionalFormatting sqref="G93">
    <cfRule type="expression" dxfId="179" priority="8" stopIfTrue="1">
      <formula>A10="U maakt gebruik van balansfinanciering"</formula>
    </cfRule>
    <cfRule type="expression" priority="9" stopIfTrue="1">
      <formula>A10="U maakt gebruik van balansfinanciering"</formula>
    </cfRule>
  </conditionalFormatting>
  <pageMargins left="0.7" right="0.7" top="0.75" bottom="0.75" header="0.3" footer="0.3"/>
  <pageSetup paperSize="9" scale="60" orientation="portrait" r:id="rId1"/>
  <colBreaks count="1" manualBreakCount="1">
    <brk id="7" max="102" man="1"/>
  </colBreaks>
  <ignoredErrors>
    <ignoredError sqref="H84:H93 H13 E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List Box 1">
              <controlPr defaultSize="0" autoLine="0" autoPict="0" altText="Kies uit de lijst 1 van de 3 mogelijkheden:_x000d__x000a_Ja; Nee, aanvrager is kleine onderneming; Nee, aanvrager is startende onderneming">
                <anchor moveWithCells="1" sizeWithCells="1">
                  <from>
                    <xdr:col>4</xdr:col>
                    <xdr:colOff>0</xdr:colOff>
                    <xdr:row>14</xdr:row>
                    <xdr:rowOff>28575</xdr:rowOff>
                  </from>
                  <to>
                    <xdr:col>5</xdr:col>
                    <xdr:colOff>19050</xdr:colOff>
                    <xdr:row>16</xdr:row>
                    <xdr:rowOff>142875</xdr:rowOff>
                  </to>
                </anchor>
              </controlPr>
            </control>
          </mc:Choice>
        </mc:AlternateContent>
        <mc:AlternateContent xmlns:mc="http://schemas.openxmlformats.org/markup-compatibility/2006">
          <mc:Choice Requires="x14">
            <control shapeId="2052" r:id="rId5" name="List Box 4">
              <controlPr defaultSize="0" autoLine="0" autoPict="0" altText="Kies uit de lijst 1 van de 2 mogelijkheden:_x000d__x000a_Projectfinanciering; Balansfinanciering">
                <anchor moveWithCells="1" sizeWithCells="1">
                  <from>
                    <xdr:col>4</xdr:col>
                    <xdr:colOff>1352550</xdr:colOff>
                    <xdr:row>8</xdr:row>
                    <xdr:rowOff>28575</xdr:rowOff>
                  </from>
                  <to>
                    <xdr:col>5</xdr:col>
                    <xdr:colOff>0</xdr:colOff>
                    <xdr:row>8</xdr:row>
                    <xdr:rowOff>323850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2FF5-AF27-41AE-9954-F12D4355F81A}">
  <dimension ref="A1:S147"/>
  <sheetViews>
    <sheetView zoomScaleNormal="100" workbookViewId="0">
      <selection activeCell="A2" sqref="A2"/>
    </sheetView>
  </sheetViews>
  <sheetFormatPr defaultColWidth="8.7109375" defaultRowHeight="15" x14ac:dyDescent="0.25"/>
  <cols>
    <col min="1" max="1" width="69.42578125" style="3" customWidth="1"/>
    <col min="2" max="2" width="8.7109375" style="15"/>
    <col min="3" max="3" width="11.7109375" style="15" bestFit="1" customWidth="1"/>
    <col min="4" max="4" width="13.7109375" style="3" customWidth="1"/>
    <col min="5" max="5" width="110.28515625" style="3" customWidth="1"/>
    <col min="6" max="6" width="76.5703125" style="3" customWidth="1"/>
    <col min="7" max="7" width="14" style="3" bestFit="1" customWidth="1"/>
    <col min="8" max="14" width="12.7109375" style="3" customWidth="1"/>
    <col min="15" max="15" width="13.7109375" style="3" customWidth="1"/>
    <col min="16" max="16" width="12.42578125" style="3" customWidth="1"/>
    <col min="17" max="256" width="8.7109375" style="3"/>
    <col min="257" max="257" width="55.7109375" style="3" customWidth="1"/>
    <col min="258" max="259" width="8.7109375" style="3"/>
    <col min="260" max="260" width="10.7109375" style="3" customWidth="1"/>
    <col min="261" max="261" width="110.28515625" style="3" customWidth="1"/>
    <col min="262" max="262" width="76.5703125" style="3" customWidth="1"/>
    <col min="263" max="263" width="14" style="3" bestFit="1" customWidth="1"/>
    <col min="264" max="270" width="12.7109375" style="3" customWidth="1"/>
    <col min="271" max="271" width="13.7109375" style="3" customWidth="1"/>
    <col min="272" max="272" width="12.42578125" style="3" customWidth="1"/>
    <col min="273" max="512" width="8.7109375" style="3"/>
    <col min="513" max="513" width="55.7109375" style="3" customWidth="1"/>
    <col min="514" max="515" width="8.7109375" style="3"/>
    <col min="516" max="516" width="10.7109375" style="3" customWidth="1"/>
    <col min="517" max="517" width="110.28515625" style="3" customWidth="1"/>
    <col min="518" max="518" width="76.5703125" style="3" customWidth="1"/>
    <col min="519" max="519" width="14" style="3" bestFit="1" customWidth="1"/>
    <col min="520" max="526" width="12.7109375" style="3" customWidth="1"/>
    <col min="527" max="527" width="13.7109375" style="3" customWidth="1"/>
    <col min="528" max="528" width="12.42578125" style="3" customWidth="1"/>
    <col min="529" max="768" width="8.7109375" style="3"/>
    <col min="769" max="769" width="55.7109375" style="3" customWidth="1"/>
    <col min="770" max="771" width="8.7109375" style="3"/>
    <col min="772" max="772" width="10.7109375" style="3" customWidth="1"/>
    <col min="773" max="773" width="110.28515625" style="3" customWidth="1"/>
    <col min="774" max="774" width="76.5703125" style="3" customWidth="1"/>
    <col min="775" max="775" width="14" style="3" bestFit="1" customWidth="1"/>
    <col min="776" max="782" width="12.7109375" style="3" customWidth="1"/>
    <col min="783" max="783" width="13.7109375" style="3" customWidth="1"/>
    <col min="784" max="784" width="12.42578125" style="3" customWidth="1"/>
    <col min="785" max="1024" width="8.7109375" style="3"/>
    <col min="1025" max="1025" width="55.7109375" style="3" customWidth="1"/>
    <col min="1026" max="1027" width="8.7109375" style="3"/>
    <col min="1028" max="1028" width="10.7109375" style="3" customWidth="1"/>
    <col min="1029" max="1029" width="110.28515625" style="3" customWidth="1"/>
    <col min="1030" max="1030" width="76.5703125" style="3" customWidth="1"/>
    <col min="1031" max="1031" width="14" style="3" bestFit="1" customWidth="1"/>
    <col min="1032" max="1038" width="12.7109375" style="3" customWidth="1"/>
    <col min="1039" max="1039" width="13.7109375" style="3" customWidth="1"/>
    <col min="1040" max="1040" width="12.42578125" style="3" customWidth="1"/>
    <col min="1041" max="1280" width="8.7109375" style="3"/>
    <col min="1281" max="1281" width="55.7109375" style="3" customWidth="1"/>
    <col min="1282" max="1283" width="8.7109375" style="3"/>
    <col min="1284" max="1284" width="10.7109375" style="3" customWidth="1"/>
    <col min="1285" max="1285" width="110.28515625" style="3" customWidth="1"/>
    <col min="1286" max="1286" width="76.5703125" style="3" customWidth="1"/>
    <col min="1287" max="1287" width="14" style="3" bestFit="1" customWidth="1"/>
    <col min="1288" max="1294" width="12.7109375" style="3" customWidth="1"/>
    <col min="1295" max="1295" width="13.7109375" style="3" customWidth="1"/>
    <col min="1296" max="1296" width="12.42578125" style="3" customWidth="1"/>
    <col min="1297" max="1536" width="8.7109375" style="3"/>
    <col min="1537" max="1537" width="55.7109375" style="3" customWidth="1"/>
    <col min="1538" max="1539" width="8.7109375" style="3"/>
    <col min="1540" max="1540" width="10.7109375" style="3" customWidth="1"/>
    <col min="1541" max="1541" width="110.28515625" style="3" customWidth="1"/>
    <col min="1542" max="1542" width="76.5703125" style="3" customWidth="1"/>
    <col min="1543" max="1543" width="14" style="3" bestFit="1" customWidth="1"/>
    <col min="1544" max="1550" width="12.7109375" style="3" customWidth="1"/>
    <col min="1551" max="1551" width="13.7109375" style="3" customWidth="1"/>
    <col min="1552" max="1552" width="12.42578125" style="3" customWidth="1"/>
    <col min="1553" max="1792" width="8.7109375" style="3"/>
    <col min="1793" max="1793" width="55.7109375" style="3" customWidth="1"/>
    <col min="1794" max="1795" width="8.7109375" style="3"/>
    <col min="1796" max="1796" width="10.7109375" style="3" customWidth="1"/>
    <col min="1797" max="1797" width="110.28515625" style="3" customWidth="1"/>
    <col min="1798" max="1798" width="76.5703125" style="3" customWidth="1"/>
    <col min="1799" max="1799" width="14" style="3" bestFit="1" customWidth="1"/>
    <col min="1800" max="1806" width="12.7109375" style="3" customWidth="1"/>
    <col min="1807" max="1807" width="13.7109375" style="3" customWidth="1"/>
    <col min="1808" max="1808" width="12.42578125" style="3" customWidth="1"/>
    <col min="1809" max="2048" width="8.7109375" style="3"/>
    <col min="2049" max="2049" width="55.7109375" style="3" customWidth="1"/>
    <col min="2050" max="2051" width="8.7109375" style="3"/>
    <col min="2052" max="2052" width="10.7109375" style="3" customWidth="1"/>
    <col min="2053" max="2053" width="110.28515625" style="3" customWidth="1"/>
    <col min="2054" max="2054" width="76.5703125" style="3" customWidth="1"/>
    <col min="2055" max="2055" width="14" style="3" bestFit="1" customWidth="1"/>
    <col min="2056" max="2062" width="12.7109375" style="3" customWidth="1"/>
    <col min="2063" max="2063" width="13.7109375" style="3" customWidth="1"/>
    <col min="2064" max="2064" width="12.42578125" style="3" customWidth="1"/>
    <col min="2065" max="2304" width="8.7109375" style="3"/>
    <col min="2305" max="2305" width="55.7109375" style="3" customWidth="1"/>
    <col min="2306" max="2307" width="8.7109375" style="3"/>
    <col min="2308" max="2308" width="10.7109375" style="3" customWidth="1"/>
    <col min="2309" max="2309" width="110.28515625" style="3" customWidth="1"/>
    <col min="2310" max="2310" width="76.5703125" style="3" customWidth="1"/>
    <col min="2311" max="2311" width="14" style="3" bestFit="1" customWidth="1"/>
    <col min="2312" max="2318" width="12.7109375" style="3" customWidth="1"/>
    <col min="2319" max="2319" width="13.7109375" style="3" customWidth="1"/>
    <col min="2320" max="2320" width="12.42578125" style="3" customWidth="1"/>
    <col min="2321" max="2560" width="8.7109375" style="3"/>
    <col min="2561" max="2561" width="55.7109375" style="3" customWidth="1"/>
    <col min="2562" max="2563" width="8.7109375" style="3"/>
    <col min="2564" max="2564" width="10.7109375" style="3" customWidth="1"/>
    <col min="2565" max="2565" width="110.28515625" style="3" customWidth="1"/>
    <col min="2566" max="2566" width="76.5703125" style="3" customWidth="1"/>
    <col min="2567" max="2567" width="14" style="3" bestFit="1" customWidth="1"/>
    <col min="2568" max="2574" width="12.7109375" style="3" customWidth="1"/>
    <col min="2575" max="2575" width="13.7109375" style="3" customWidth="1"/>
    <col min="2576" max="2576" width="12.42578125" style="3" customWidth="1"/>
    <col min="2577" max="2816" width="8.7109375" style="3"/>
    <col min="2817" max="2817" width="55.7109375" style="3" customWidth="1"/>
    <col min="2818" max="2819" width="8.7109375" style="3"/>
    <col min="2820" max="2820" width="10.7109375" style="3" customWidth="1"/>
    <col min="2821" max="2821" width="110.28515625" style="3" customWidth="1"/>
    <col min="2822" max="2822" width="76.5703125" style="3" customWidth="1"/>
    <col min="2823" max="2823" width="14" style="3" bestFit="1" customWidth="1"/>
    <col min="2824" max="2830" width="12.7109375" style="3" customWidth="1"/>
    <col min="2831" max="2831" width="13.7109375" style="3" customWidth="1"/>
    <col min="2832" max="2832" width="12.42578125" style="3" customWidth="1"/>
    <col min="2833" max="3072" width="8.7109375" style="3"/>
    <col min="3073" max="3073" width="55.7109375" style="3" customWidth="1"/>
    <col min="3074" max="3075" width="8.7109375" style="3"/>
    <col min="3076" max="3076" width="10.7109375" style="3" customWidth="1"/>
    <col min="3077" max="3077" width="110.28515625" style="3" customWidth="1"/>
    <col min="3078" max="3078" width="76.5703125" style="3" customWidth="1"/>
    <col min="3079" max="3079" width="14" style="3" bestFit="1" customWidth="1"/>
    <col min="3080" max="3086" width="12.7109375" style="3" customWidth="1"/>
    <col min="3087" max="3087" width="13.7109375" style="3" customWidth="1"/>
    <col min="3088" max="3088" width="12.42578125" style="3" customWidth="1"/>
    <col min="3089" max="3328" width="8.7109375" style="3"/>
    <col min="3329" max="3329" width="55.7109375" style="3" customWidth="1"/>
    <col min="3330" max="3331" width="8.7109375" style="3"/>
    <col min="3332" max="3332" width="10.7109375" style="3" customWidth="1"/>
    <col min="3333" max="3333" width="110.28515625" style="3" customWidth="1"/>
    <col min="3334" max="3334" width="76.5703125" style="3" customWidth="1"/>
    <col min="3335" max="3335" width="14" style="3" bestFit="1" customWidth="1"/>
    <col min="3336" max="3342" width="12.7109375" style="3" customWidth="1"/>
    <col min="3343" max="3343" width="13.7109375" style="3" customWidth="1"/>
    <col min="3344" max="3344" width="12.42578125" style="3" customWidth="1"/>
    <col min="3345" max="3584" width="8.7109375" style="3"/>
    <col min="3585" max="3585" width="55.7109375" style="3" customWidth="1"/>
    <col min="3586" max="3587" width="8.7109375" style="3"/>
    <col min="3588" max="3588" width="10.7109375" style="3" customWidth="1"/>
    <col min="3589" max="3589" width="110.28515625" style="3" customWidth="1"/>
    <col min="3590" max="3590" width="76.5703125" style="3" customWidth="1"/>
    <col min="3591" max="3591" width="14" style="3" bestFit="1" customWidth="1"/>
    <col min="3592" max="3598" width="12.7109375" style="3" customWidth="1"/>
    <col min="3599" max="3599" width="13.7109375" style="3" customWidth="1"/>
    <col min="3600" max="3600" width="12.42578125" style="3" customWidth="1"/>
    <col min="3601" max="3840" width="8.7109375" style="3"/>
    <col min="3841" max="3841" width="55.7109375" style="3" customWidth="1"/>
    <col min="3842" max="3843" width="8.7109375" style="3"/>
    <col min="3844" max="3844" width="10.7109375" style="3" customWidth="1"/>
    <col min="3845" max="3845" width="110.28515625" style="3" customWidth="1"/>
    <col min="3846" max="3846" width="76.5703125" style="3" customWidth="1"/>
    <col min="3847" max="3847" width="14" style="3" bestFit="1" customWidth="1"/>
    <col min="3848" max="3854" width="12.7109375" style="3" customWidth="1"/>
    <col min="3855" max="3855" width="13.7109375" style="3" customWidth="1"/>
    <col min="3856" max="3856" width="12.42578125" style="3" customWidth="1"/>
    <col min="3857" max="4096" width="8.7109375" style="3"/>
    <col min="4097" max="4097" width="55.7109375" style="3" customWidth="1"/>
    <col min="4098" max="4099" width="8.7109375" style="3"/>
    <col min="4100" max="4100" width="10.7109375" style="3" customWidth="1"/>
    <col min="4101" max="4101" width="110.28515625" style="3" customWidth="1"/>
    <col min="4102" max="4102" width="76.5703125" style="3" customWidth="1"/>
    <col min="4103" max="4103" width="14" style="3" bestFit="1" customWidth="1"/>
    <col min="4104" max="4110" width="12.7109375" style="3" customWidth="1"/>
    <col min="4111" max="4111" width="13.7109375" style="3" customWidth="1"/>
    <col min="4112" max="4112" width="12.42578125" style="3" customWidth="1"/>
    <col min="4113" max="4352" width="8.7109375" style="3"/>
    <col min="4353" max="4353" width="55.7109375" style="3" customWidth="1"/>
    <col min="4354" max="4355" width="8.7109375" style="3"/>
    <col min="4356" max="4356" width="10.7109375" style="3" customWidth="1"/>
    <col min="4357" max="4357" width="110.28515625" style="3" customWidth="1"/>
    <col min="4358" max="4358" width="76.5703125" style="3" customWidth="1"/>
    <col min="4359" max="4359" width="14" style="3" bestFit="1" customWidth="1"/>
    <col min="4360" max="4366" width="12.7109375" style="3" customWidth="1"/>
    <col min="4367" max="4367" width="13.7109375" style="3" customWidth="1"/>
    <col min="4368" max="4368" width="12.42578125" style="3" customWidth="1"/>
    <col min="4369" max="4608" width="8.7109375" style="3"/>
    <col min="4609" max="4609" width="55.7109375" style="3" customWidth="1"/>
    <col min="4610" max="4611" width="8.7109375" style="3"/>
    <col min="4612" max="4612" width="10.7109375" style="3" customWidth="1"/>
    <col min="4613" max="4613" width="110.28515625" style="3" customWidth="1"/>
    <col min="4614" max="4614" width="76.5703125" style="3" customWidth="1"/>
    <col min="4615" max="4615" width="14" style="3" bestFit="1" customWidth="1"/>
    <col min="4616" max="4622" width="12.7109375" style="3" customWidth="1"/>
    <col min="4623" max="4623" width="13.7109375" style="3" customWidth="1"/>
    <col min="4624" max="4624" width="12.42578125" style="3" customWidth="1"/>
    <col min="4625" max="4864" width="8.7109375" style="3"/>
    <col min="4865" max="4865" width="55.7109375" style="3" customWidth="1"/>
    <col min="4866" max="4867" width="8.7109375" style="3"/>
    <col min="4868" max="4868" width="10.7109375" style="3" customWidth="1"/>
    <col min="4869" max="4869" width="110.28515625" style="3" customWidth="1"/>
    <col min="4870" max="4870" width="76.5703125" style="3" customWidth="1"/>
    <col min="4871" max="4871" width="14" style="3" bestFit="1" customWidth="1"/>
    <col min="4872" max="4878" width="12.7109375" style="3" customWidth="1"/>
    <col min="4879" max="4879" width="13.7109375" style="3" customWidth="1"/>
    <col min="4880" max="4880" width="12.42578125" style="3" customWidth="1"/>
    <col min="4881" max="5120" width="8.7109375" style="3"/>
    <col min="5121" max="5121" width="55.7109375" style="3" customWidth="1"/>
    <col min="5122" max="5123" width="8.7109375" style="3"/>
    <col min="5124" max="5124" width="10.7109375" style="3" customWidth="1"/>
    <col min="5125" max="5125" width="110.28515625" style="3" customWidth="1"/>
    <col min="5126" max="5126" width="76.5703125" style="3" customWidth="1"/>
    <col min="5127" max="5127" width="14" style="3" bestFit="1" customWidth="1"/>
    <col min="5128" max="5134" width="12.7109375" style="3" customWidth="1"/>
    <col min="5135" max="5135" width="13.7109375" style="3" customWidth="1"/>
    <col min="5136" max="5136" width="12.42578125" style="3" customWidth="1"/>
    <col min="5137" max="5376" width="8.7109375" style="3"/>
    <col min="5377" max="5377" width="55.7109375" style="3" customWidth="1"/>
    <col min="5378" max="5379" width="8.7109375" style="3"/>
    <col min="5380" max="5380" width="10.7109375" style="3" customWidth="1"/>
    <col min="5381" max="5381" width="110.28515625" style="3" customWidth="1"/>
    <col min="5382" max="5382" width="76.5703125" style="3" customWidth="1"/>
    <col min="5383" max="5383" width="14" style="3" bestFit="1" customWidth="1"/>
    <col min="5384" max="5390" width="12.7109375" style="3" customWidth="1"/>
    <col min="5391" max="5391" width="13.7109375" style="3" customWidth="1"/>
    <col min="5392" max="5392" width="12.42578125" style="3" customWidth="1"/>
    <col min="5393" max="5632" width="8.7109375" style="3"/>
    <col min="5633" max="5633" width="55.7109375" style="3" customWidth="1"/>
    <col min="5634" max="5635" width="8.7109375" style="3"/>
    <col min="5636" max="5636" width="10.7109375" style="3" customWidth="1"/>
    <col min="5637" max="5637" width="110.28515625" style="3" customWidth="1"/>
    <col min="5638" max="5638" width="76.5703125" style="3" customWidth="1"/>
    <col min="5639" max="5639" width="14" style="3" bestFit="1" customWidth="1"/>
    <col min="5640" max="5646" width="12.7109375" style="3" customWidth="1"/>
    <col min="5647" max="5647" width="13.7109375" style="3" customWidth="1"/>
    <col min="5648" max="5648" width="12.42578125" style="3" customWidth="1"/>
    <col min="5649" max="5888" width="8.7109375" style="3"/>
    <col min="5889" max="5889" width="55.7109375" style="3" customWidth="1"/>
    <col min="5890" max="5891" width="8.7109375" style="3"/>
    <col min="5892" max="5892" width="10.7109375" style="3" customWidth="1"/>
    <col min="5893" max="5893" width="110.28515625" style="3" customWidth="1"/>
    <col min="5894" max="5894" width="76.5703125" style="3" customWidth="1"/>
    <col min="5895" max="5895" width="14" style="3" bestFit="1" customWidth="1"/>
    <col min="5896" max="5902" width="12.7109375" style="3" customWidth="1"/>
    <col min="5903" max="5903" width="13.7109375" style="3" customWidth="1"/>
    <col min="5904" max="5904" width="12.42578125" style="3" customWidth="1"/>
    <col min="5905" max="6144" width="8.7109375" style="3"/>
    <col min="6145" max="6145" width="55.7109375" style="3" customWidth="1"/>
    <col min="6146" max="6147" width="8.7109375" style="3"/>
    <col min="6148" max="6148" width="10.7109375" style="3" customWidth="1"/>
    <col min="6149" max="6149" width="110.28515625" style="3" customWidth="1"/>
    <col min="6150" max="6150" width="76.5703125" style="3" customWidth="1"/>
    <col min="6151" max="6151" width="14" style="3" bestFit="1" customWidth="1"/>
    <col min="6152" max="6158" width="12.7109375" style="3" customWidth="1"/>
    <col min="6159" max="6159" width="13.7109375" style="3" customWidth="1"/>
    <col min="6160" max="6160" width="12.42578125" style="3" customWidth="1"/>
    <col min="6161" max="6400" width="8.7109375" style="3"/>
    <col min="6401" max="6401" width="55.7109375" style="3" customWidth="1"/>
    <col min="6402" max="6403" width="8.7109375" style="3"/>
    <col min="6404" max="6404" width="10.7109375" style="3" customWidth="1"/>
    <col min="6405" max="6405" width="110.28515625" style="3" customWidth="1"/>
    <col min="6406" max="6406" width="76.5703125" style="3" customWidth="1"/>
    <col min="6407" max="6407" width="14" style="3" bestFit="1" customWidth="1"/>
    <col min="6408" max="6414" width="12.7109375" style="3" customWidth="1"/>
    <col min="6415" max="6415" width="13.7109375" style="3" customWidth="1"/>
    <col min="6416" max="6416" width="12.42578125" style="3" customWidth="1"/>
    <col min="6417" max="6656" width="8.7109375" style="3"/>
    <col min="6657" max="6657" width="55.7109375" style="3" customWidth="1"/>
    <col min="6658" max="6659" width="8.7109375" style="3"/>
    <col min="6660" max="6660" width="10.7109375" style="3" customWidth="1"/>
    <col min="6661" max="6661" width="110.28515625" style="3" customWidth="1"/>
    <col min="6662" max="6662" width="76.5703125" style="3" customWidth="1"/>
    <col min="6663" max="6663" width="14" style="3" bestFit="1" customWidth="1"/>
    <col min="6664" max="6670" width="12.7109375" style="3" customWidth="1"/>
    <col min="6671" max="6671" width="13.7109375" style="3" customWidth="1"/>
    <col min="6672" max="6672" width="12.42578125" style="3" customWidth="1"/>
    <col min="6673" max="6912" width="8.7109375" style="3"/>
    <col min="6913" max="6913" width="55.7109375" style="3" customWidth="1"/>
    <col min="6914" max="6915" width="8.7109375" style="3"/>
    <col min="6916" max="6916" width="10.7109375" style="3" customWidth="1"/>
    <col min="6917" max="6917" width="110.28515625" style="3" customWidth="1"/>
    <col min="6918" max="6918" width="76.5703125" style="3" customWidth="1"/>
    <col min="6919" max="6919" width="14" style="3" bestFit="1" customWidth="1"/>
    <col min="6920" max="6926" width="12.7109375" style="3" customWidth="1"/>
    <col min="6927" max="6927" width="13.7109375" style="3" customWidth="1"/>
    <col min="6928" max="6928" width="12.42578125" style="3" customWidth="1"/>
    <col min="6929" max="7168" width="8.7109375" style="3"/>
    <col min="7169" max="7169" width="55.7109375" style="3" customWidth="1"/>
    <col min="7170" max="7171" width="8.7109375" style="3"/>
    <col min="7172" max="7172" width="10.7109375" style="3" customWidth="1"/>
    <col min="7173" max="7173" width="110.28515625" style="3" customWidth="1"/>
    <col min="7174" max="7174" width="76.5703125" style="3" customWidth="1"/>
    <col min="7175" max="7175" width="14" style="3" bestFit="1" customWidth="1"/>
    <col min="7176" max="7182" width="12.7109375" style="3" customWidth="1"/>
    <col min="7183" max="7183" width="13.7109375" style="3" customWidth="1"/>
    <col min="7184" max="7184" width="12.42578125" style="3" customWidth="1"/>
    <col min="7185" max="7424" width="8.7109375" style="3"/>
    <col min="7425" max="7425" width="55.7109375" style="3" customWidth="1"/>
    <col min="7426" max="7427" width="8.7109375" style="3"/>
    <col min="7428" max="7428" width="10.7109375" style="3" customWidth="1"/>
    <col min="7429" max="7429" width="110.28515625" style="3" customWidth="1"/>
    <col min="7430" max="7430" width="76.5703125" style="3" customWidth="1"/>
    <col min="7431" max="7431" width="14" style="3" bestFit="1" customWidth="1"/>
    <col min="7432" max="7438" width="12.7109375" style="3" customWidth="1"/>
    <col min="7439" max="7439" width="13.7109375" style="3" customWidth="1"/>
    <col min="7440" max="7440" width="12.42578125" style="3" customWidth="1"/>
    <col min="7441" max="7680" width="8.7109375" style="3"/>
    <col min="7681" max="7681" width="55.7109375" style="3" customWidth="1"/>
    <col min="7682" max="7683" width="8.7109375" style="3"/>
    <col min="7684" max="7684" width="10.7109375" style="3" customWidth="1"/>
    <col min="7685" max="7685" width="110.28515625" style="3" customWidth="1"/>
    <col min="7686" max="7686" width="76.5703125" style="3" customWidth="1"/>
    <col min="7687" max="7687" width="14" style="3" bestFit="1" customWidth="1"/>
    <col min="7688" max="7694" width="12.7109375" style="3" customWidth="1"/>
    <col min="7695" max="7695" width="13.7109375" style="3" customWidth="1"/>
    <col min="7696" max="7696" width="12.42578125" style="3" customWidth="1"/>
    <col min="7697" max="7936" width="8.7109375" style="3"/>
    <col min="7937" max="7937" width="55.7109375" style="3" customWidth="1"/>
    <col min="7938" max="7939" width="8.7109375" style="3"/>
    <col min="7940" max="7940" width="10.7109375" style="3" customWidth="1"/>
    <col min="7941" max="7941" width="110.28515625" style="3" customWidth="1"/>
    <col min="7942" max="7942" width="76.5703125" style="3" customWidth="1"/>
    <col min="7943" max="7943" width="14" style="3" bestFit="1" customWidth="1"/>
    <col min="7944" max="7950" width="12.7109375" style="3" customWidth="1"/>
    <col min="7951" max="7951" width="13.7109375" style="3" customWidth="1"/>
    <col min="7952" max="7952" width="12.42578125" style="3" customWidth="1"/>
    <col min="7953" max="8192" width="8.7109375" style="3"/>
    <col min="8193" max="8193" width="55.7109375" style="3" customWidth="1"/>
    <col min="8194" max="8195" width="8.7109375" style="3"/>
    <col min="8196" max="8196" width="10.7109375" style="3" customWidth="1"/>
    <col min="8197" max="8197" width="110.28515625" style="3" customWidth="1"/>
    <col min="8198" max="8198" width="76.5703125" style="3" customWidth="1"/>
    <col min="8199" max="8199" width="14" style="3" bestFit="1" customWidth="1"/>
    <col min="8200" max="8206" width="12.7109375" style="3" customWidth="1"/>
    <col min="8207" max="8207" width="13.7109375" style="3" customWidth="1"/>
    <col min="8208" max="8208" width="12.42578125" style="3" customWidth="1"/>
    <col min="8209" max="8448" width="8.7109375" style="3"/>
    <col min="8449" max="8449" width="55.7109375" style="3" customWidth="1"/>
    <col min="8450" max="8451" width="8.7109375" style="3"/>
    <col min="8452" max="8452" width="10.7109375" style="3" customWidth="1"/>
    <col min="8453" max="8453" width="110.28515625" style="3" customWidth="1"/>
    <col min="8454" max="8454" width="76.5703125" style="3" customWidth="1"/>
    <col min="8455" max="8455" width="14" style="3" bestFit="1" customWidth="1"/>
    <col min="8456" max="8462" width="12.7109375" style="3" customWidth="1"/>
    <col min="8463" max="8463" width="13.7109375" style="3" customWidth="1"/>
    <col min="8464" max="8464" width="12.42578125" style="3" customWidth="1"/>
    <col min="8465" max="8704" width="8.7109375" style="3"/>
    <col min="8705" max="8705" width="55.7109375" style="3" customWidth="1"/>
    <col min="8706" max="8707" width="8.7109375" style="3"/>
    <col min="8708" max="8708" width="10.7109375" style="3" customWidth="1"/>
    <col min="8709" max="8709" width="110.28515625" style="3" customWidth="1"/>
    <col min="8710" max="8710" width="76.5703125" style="3" customWidth="1"/>
    <col min="8711" max="8711" width="14" style="3" bestFit="1" customWidth="1"/>
    <col min="8712" max="8718" width="12.7109375" style="3" customWidth="1"/>
    <col min="8719" max="8719" width="13.7109375" style="3" customWidth="1"/>
    <col min="8720" max="8720" width="12.42578125" style="3" customWidth="1"/>
    <col min="8721" max="8960" width="8.7109375" style="3"/>
    <col min="8961" max="8961" width="55.7109375" style="3" customWidth="1"/>
    <col min="8962" max="8963" width="8.7109375" style="3"/>
    <col min="8964" max="8964" width="10.7109375" style="3" customWidth="1"/>
    <col min="8965" max="8965" width="110.28515625" style="3" customWidth="1"/>
    <col min="8966" max="8966" width="76.5703125" style="3" customWidth="1"/>
    <col min="8967" max="8967" width="14" style="3" bestFit="1" customWidth="1"/>
    <col min="8968" max="8974" width="12.7109375" style="3" customWidth="1"/>
    <col min="8975" max="8975" width="13.7109375" style="3" customWidth="1"/>
    <col min="8976" max="8976" width="12.42578125" style="3" customWidth="1"/>
    <col min="8977" max="9216" width="8.7109375" style="3"/>
    <col min="9217" max="9217" width="55.7109375" style="3" customWidth="1"/>
    <col min="9218" max="9219" width="8.7109375" style="3"/>
    <col min="9220" max="9220" width="10.7109375" style="3" customWidth="1"/>
    <col min="9221" max="9221" width="110.28515625" style="3" customWidth="1"/>
    <col min="9222" max="9222" width="76.5703125" style="3" customWidth="1"/>
    <col min="9223" max="9223" width="14" style="3" bestFit="1" customWidth="1"/>
    <col min="9224" max="9230" width="12.7109375" style="3" customWidth="1"/>
    <col min="9231" max="9231" width="13.7109375" style="3" customWidth="1"/>
    <col min="9232" max="9232" width="12.42578125" style="3" customWidth="1"/>
    <col min="9233" max="9472" width="8.7109375" style="3"/>
    <col min="9473" max="9473" width="55.7109375" style="3" customWidth="1"/>
    <col min="9474" max="9475" width="8.7109375" style="3"/>
    <col min="9476" max="9476" width="10.7109375" style="3" customWidth="1"/>
    <col min="9477" max="9477" width="110.28515625" style="3" customWidth="1"/>
    <col min="9478" max="9478" width="76.5703125" style="3" customWidth="1"/>
    <col min="9479" max="9479" width="14" style="3" bestFit="1" customWidth="1"/>
    <col min="9480" max="9486" width="12.7109375" style="3" customWidth="1"/>
    <col min="9487" max="9487" width="13.7109375" style="3" customWidth="1"/>
    <col min="9488" max="9488" width="12.42578125" style="3" customWidth="1"/>
    <col min="9489" max="9728" width="8.7109375" style="3"/>
    <col min="9729" max="9729" width="55.7109375" style="3" customWidth="1"/>
    <col min="9730" max="9731" width="8.7109375" style="3"/>
    <col min="9732" max="9732" width="10.7109375" style="3" customWidth="1"/>
    <col min="9733" max="9733" width="110.28515625" style="3" customWidth="1"/>
    <col min="9734" max="9734" width="76.5703125" style="3" customWidth="1"/>
    <col min="9735" max="9735" width="14" style="3" bestFit="1" customWidth="1"/>
    <col min="9736" max="9742" width="12.7109375" style="3" customWidth="1"/>
    <col min="9743" max="9743" width="13.7109375" style="3" customWidth="1"/>
    <col min="9744" max="9744" width="12.42578125" style="3" customWidth="1"/>
    <col min="9745" max="9984" width="8.7109375" style="3"/>
    <col min="9985" max="9985" width="55.7109375" style="3" customWidth="1"/>
    <col min="9986" max="9987" width="8.7109375" style="3"/>
    <col min="9988" max="9988" width="10.7109375" style="3" customWidth="1"/>
    <col min="9989" max="9989" width="110.28515625" style="3" customWidth="1"/>
    <col min="9990" max="9990" width="76.5703125" style="3" customWidth="1"/>
    <col min="9991" max="9991" width="14" style="3" bestFit="1" customWidth="1"/>
    <col min="9992" max="9998" width="12.7109375" style="3" customWidth="1"/>
    <col min="9999" max="9999" width="13.7109375" style="3" customWidth="1"/>
    <col min="10000" max="10000" width="12.42578125" style="3" customWidth="1"/>
    <col min="10001" max="10240" width="8.7109375" style="3"/>
    <col min="10241" max="10241" width="55.7109375" style="3" customWidth="1"/>
    <col min="10242" max="10243" width="8.7109375" style="3"/>
    <col min="10244" max="10244" width="10.7109375" style="3" customWidth="1"/>
    <col min="10245" max="10245" width="110.28515625" style="3" customWidth="1"/>
    <col min="10246" max="10246" width="76.5703125" style="3" customWidth="1"/>
    <col min="10247" max="10247" width="14" style="3" bestFit="1" customWidth="1"/>
    <col min="10248" max="10254" width="12.7109375" style="3" customWidth="1"/>
    <col min="10255" max="10255" width="13.7109375" style="3" customWidth="1"/>
    <col min="10256" max="10256" width="12.42578125" style="3" customWidth="1"/>
    <col min="10257" max="10496" width="8.7109375" style="3"/>
    <col min="10497" max="10497" width="55.7109375" style="3" customWidth="1"/>
    <col min="10498" max="10499" width="8.7109375" style="3"/>
    <col min="10500" max="10500" width="10.7109375" style="3" customWidth="1"/>
    <col min="10501" max="10501" width="110.28515625" style="3" customWidth="1"/>
    <col min="10502" max="10502" width="76.5703125" style="3" customWidth="1"/>
    <col min="10503" max="10503" width="14" style="3" bestFit="1" customWidth="1"/>
    <col min="10504" max="10510" width="12.7109375" style="3" customWidth="1"/>
    <col min="10511" max="10511" width="13.7109375" style="3" customWidth="1"/>
    <col min="10512" max="10512" width="12.42578125" style="3" customWidth="1"/>
    <col min="10513" max="10752" width="8.7109375" style="3"/>
    <col min="10753" max="10753" width="55.7109375" style="3" customWidth="1"/>
    <col min="10754" max="10755" width="8.7109375" style="3"/>
    <col min="10756" max="10756" width="10.7109375" style="3" customWidth="1"/>
    <col min="10757" max="10757" width="110.28515625" style="3" customWidth="1"/>
    <col min="10758" max="10758" width="76.5703125" style="3" customWidth="1"/>
    <col min="10759" max="10759" width="14" style="3" bestFit="1" customWidth="1"/>
    <col min="10760" max="10766" width="12.7109375" style="3" customWidth="1"/>
    <col min="10767" max="10767" width="13.7109375" style="3" customWidth="1"/>
    <col min="10768" max="10768" width="12.42578125" style="3" customWidth="1"/>
    <col min="10769" max="11008" width="8.7109375" style="3"/>
    <col min="11009" max="11009" width="55.7109375" style="3" customWidth="1"/>
    <col min="11010" max="11011" width="8.7109375" style="3"/>
    <col min="11012" max="11012" width="10.7109375" style="3" customWidth="1"/>
    <col min="11013" max="11013" width="110.28515625" style="3" customWidth="1"/>
    <col min="11014" max="11014" width="76.5703125" style="3" customWidth="1"/>
    <col min="11015" max="11015" width="14" style="3" bestFit="1" customWidth="1"/>
    <col min="11016" max="11022" width="12.7109375" style="3" customWidth="1"/>
    <col min="11023" max="11023" width="13.7109375" style="3" customWidth="1"/>
    <col min="11024" max="11024" width="12.42578125" style="3" customWidth="1"/>
    <col min="11025" max="11264" width="8.7109375" style="3"/>
    <col min="11265" max="11265" width="55.7109375" style="3" customWidth="1"/>
    <col min="11266" max="11267" width="8.7109375" style="3"/>
    <col min="11268" max="11268" width="10.7109375" style="3" customWidth="1"/>
    <col min="11269" max="11269" width="110.28515625" style="3" customWidth="1"/>
    <col min="11270" max="11270" width="76.5703125" style="3" customWidth="1"/>
    <col min="11271" max="11271" width="14" style="3" bestFit="1" customWidth="1"/>
    <col min="11272" max="11278" width="12.7109375" style="3" customWidth="1"/>
    <col min="11279" max="11279" width="13.7109375" style="3" customWidth="1"/>
    <col min="11280" max="11280" width="12.42578125" style="3" customWidth="1"/>
    <col min="11281" max="11520" width="8.7109375" style="3"/>
    <col min="11521" max="11521" width="55.7109375" style="3" customWidth="1"/>
    <col min="11522" max="11523" width="8.7109375" style="3"/>
    <col min="11524" max="11524" width="10.7109375" style="3" customWidth="1"/>
    <col min="11525" max="11525" width="110.28515625" style="3" customWidth="1"/>
    <col min="11526" max="11526" width="76.5703125" style="3" customWidth="1"/>
    <col min="11527" max="11527" width="14" style="3" bestFit="1" customWidth="1"/>
    <col min="11528" max="11534" width="12.7109375" style="3" customWidth="1"/>
    <col min="11535" max="11535" width="13.7109375" style="3" customWidth="1"/>
    <col min="11536" max="11536" width="12.42578125" style="3" customWidth="1"/>
    <col min="11537" max="11776" width="8.7109375" style="3"/>
    <col min="11777" max="11777" width="55.7109375" style="3" customWidth="1"/>
    <col min="11778" max="11779" width="8.7109375" style="3"/>
    <col min="11780" max="11780" width="10.7109375" style="3" customWidth="1"/>
    <col min="11781" max="11781" width="110.28515625" style="3" customWidth="1"/>
    <col min="11782" max="11782" width="76.5703125" style="3" customWidth="1"/>
    <col min="11783" max="11783" width="14" style="3" bestFit="1" customWidth="1"/>
    <col min="11784" max="11790" width="12.7109375" style="3" customWidth="1"/>
    <col min="11791" max="11791" width="13.7109375" style="3" customWidth="1"/>
    <col min="11792" max="11792" width="12.42578125" style="3" customWidth="1"/>
    <col min="11793" max="12032" width="8.7109375" style="3"/>
    <col min="12033" max="12033" width="55.7109375" style="3" customWidth="1"/>
    <col min="12034" max="12035" width="8.7109375" style="3"/>
    <col min="12036" max="12036" width="10.7109375" style="3" customWidth="1"/>
    <col min="12037" max="12037" width="110.28515625" style="3" customWidth="1"/>
    <col min="12038" max="12038" width="76.5703125" style="3" customWidth="1"/>
    <col min="12039" max="12039" width="14" style="3" bestFit="1" customWidth="1"/>
    <col min="12040" max="12046" width="12.7109375" style="3" customWidth="1"/>
    <col min="12047" max="12047" width="13.7109375" style="3" customWidth="1"/>
    <col min="12048" max="12048" width="12.42578125" style="3" customWidth="1"/>
    <col min="12049" max="12288" width="8.7109375" style="3"/>
    <col min="12289" max="12289" width="55.7109375" style="3" customWidth="1"/>
    <col min="12290" max="12291" width="8.7109375" style="3"/>
    <col min="12292" max="12292" width="10.7109375" style="3" customWidth="1"/>
    <col min="12293" max="12293" width="110.28515625" style="3" customWidth="1"/>
    <col min="12294" max="12294" width="76.5703125" style="3" customWidth="1"/>
    <col min="12295" max="12295" width="14" style="3" bestFit="1" customWidth="1"/>
    <col min="12296" max="12302" width="12.7109375" style="3" customWidth="1"/>
    <col min="12303" max="12303" width="13.7109375" style="3" customWidth="1"/>
    <col min="12304" max="12304" width="12.42578125" style="3" customWidth="1"/>
    <col min="12305" max="12544" width="8.7109375" style="3"/>
    <col min="12545" max="12545" width="55.7109375" style="3" customWidth="1"/>
    <col min="12546" max="12547" width="8.7109375" style="3"/>
    <col min="12548" max="12548" width="10.7109375" style="3" customWidth="1"/>
    <col min="12549" max="12549" width="110.28515625" style="3" customWidth="1"/>
    <col min="12550" max="12550" width="76.5703125" style="3" customWidth="1"/>
    <col min="12551" max="12551" width="14" style="3" bestFit="1" customWidth="1"/>
    <col min="12552" max="12558" width="12.7109375" style="3" customWidth="1"/>
    <col min="12559" max="12559" width="13.7109375" style="3" customWidth="1"/>
    <col min="12560" max="12560" width="12.42578125" style="3" customWidth="1"/>
    <col min="12561" max="12800" width="8.7109375" style="3"/>
    <col min="12801" max="12801" width="55.7109375" style="3" customWidth="1"/>
    <col min="12802" max="12803" width="8.7109375" style="3"/>
    <col min="12804" max="12804" width="10.7109375" style="3" customWidth="1"/>
    <col min="12805" max="12805" width="110.28515625" style="3" customWidth="1"/>
    <col min="12806" max="12806" width="76.5703125" style="3" customWidth="1"/>
    <col min="12807" max="12807" width="14" style="3" bestFit="1" customWidth="1"/>
    <col min="12808" max="12814" width="12.7109375" style="3" customWidth="1"/>
    <col min="12815" max="12815" width="13.7109375" style="3" customWidth="1"/>
    <col min="12816" max="12816" width="12.42578125" style="3" customWidth="1"/>
    <col min="12817" max="13056" width="8.7109375" style="3"/>
    <col min="13057" max="13057" width="55.7109375" style="3" customWidth="1"/>
    <col min="13058" max="13059" width="8.7109375" style="3"/>
    <col min="13060" max="13060" width="10.7109375" style="3" customWidth="1"/>
    <col min="13061" max="13061" width="110.28515625" style="3" customWidth="1"/>
    <col min="13062" max="13062" width="76.5703125" style="3" customWidth="1"/>
    <col min="13063" max="13063" width="14" style="3" bestFit="1" customWidth="1"/>
    <col min="13064" max="13070" width="12.7109375" style="3" customWidth="1"/>
    <col min="13071" max="13071" width="13.7109375" style="3" customWidth="1"/>
    <col min="13072" max="13072" width="12.42578125" style="3" customWidth="1"/>
    <col min="13073" max="13312" width="8.7109375" style="3"/>
    <col min="13313" max="13313" width="55.7109375" style="3" customWidth="1"/>
    <col min="13314" max="13315" width="8.7109375" style="3"/>
    <col min="13316" max="13316" width="10.7109375" style="3" customWidth="1"/>
    <col min="13317" max="13317" width="110.28515625" style="3" customWidth="1"/>
    <col min="13318" max="13318" width="76.5703125" style="3" customWidth="1"/>
    <col min="13319" max="13319" width="14" style="3" bestFit="1" customWidth="1"/>
    <col min="13320" max="13326" width="12.7109375" style="3" customWidth="1"/>
    <col min="13327" max="13327" width="13.7109375" style="3" customWidth="1"/>
    <col min="13328" max="13328" width="12.42578125" style="3" customWidth="1"/>
    <col min="13329" max="13568" width="8.7109375" style="3"/>
    <col min="13569" max="13569" width="55.7109375" style="3" customWidth="1"/>
    <col min="13570" max="13571" width="8.7109375" style="3"/>
    <col min="13572" max="13572" width="10.7109375" style="3" customWidth="1"/>
    <col min="13573" max="13573" width="110.28515625" style="3" customWidth="1"/>
    <col min="13574" max="13574" width="76.5703125" style="3" customWidth="1"/>
    <col min="13575" max="13575" width="14" style="3" bestFit="1" customWidth="1"/>
    <col min="13576" max="13582" width="12.7109375" style="3" customWidth="1"/>
    <col min="13583" max="13583" width="13.7109375" style="3" customWidth="1"/>
    <col min="13584" max="13584" width="12.42578125" style="3" customWidth="1"/>
    <col min="13585" max="13824" width="8.7109375" style="3"/>
    <col min="13825" max="13825" width="55.7109375" style="3" customWidth="1"/>
    <col min="13826" max="13827" width="8.7109375" style="3"/>
    <col min="13828" max="13828" width="10.7109375" style="3" customWidth="1"/>
    <col min="13829" max="13829" width="110.28515625" style="3" customWidth="1"/>
    <col min="13830" max="13830" width="76.5703125" style="3" customWidth="1"/>
    <col min="13831" max="13831" width="14" style="3" bestFit="1" customWidth="1"/>
    <col min="13832" max="13838" width="12.7109375" style="3" customWidth="1"/>
    <col min="13839" max="13839" width="13.7109375" style="3" customWidth="1"/>
    <col min="13840" max="13840" width="12.42578125" style="3" customWidth="1"/>
    <col min="13841" max="14080" width="8.7109375" style="3"/>
    <col min="14081" max="14081" width="55.7109375" style="3" customWidth="1"/>
    <col min="14082" max="14083" width="8.7109375" style="3"/>
    <col min="14084" max="14084" width="10.7109375" style="3" customWidth="1"/>
    <col min="14085" max="14085" width="110.28515625" style="3" customWidth="1"/>
    <col min="14086" max="14086" width="76.5703125" style="3" customWidth="1"/>
    <col min="14087" max="14087" width="14" style="3" bestFit="1" customWidth="1"/>
    <col min="14088" max="14094" width="12.7109375" style="3" customWidth="1"/>
    <col min="14095" max="14095" width="13.7109375" style="3" customWidth="1"/>
    <col min="14096" max="14096" width="12.42578125" style="3" customWidth="1"/>
    <col min="14097" max="14336" width="8.7109375" style="3"/>
    <col min="14337" max="14337" width="55.7109375" style="3" customWidth="1"/>
    <col min="14338" max="14339" width="8.7109375" style="3"/>
    <col min="14340" max="14340" width="10.7109375" style="3" customWidth="1"/>
    <col min="14341" max="14341" width="110.28515625" style="3" customWidth="1"/>
    <col min="14342" max="14342" width="76.5703125" style="3" customWidth="1"/>
    <col min="14343" max="14343" width="14" style="3" bestFit="1" customWidth="1"/>
    <col min="14344" max="14350" width="12.7109375" style="3" customWidth="1"/>
    <col min="14351" max="14351" width="13.7109375" style="3" customWidth="1"/>
    <col min="14352" max="14352" width="12.42578125" style="3" customWidth="1"/>
    <col min="14353" max="14592" width="8.7109375" style="3"/>
    <col min="14593" max="14593" width="55.7109375" style="3" customWidth="1"/>
    <col min="14594" max="14595" width="8.7109375" style="3"/>
    <col min="14596" max="14596" width="10.7109375" style="3" customWidth="1"/>
    <col min="14597" max="14597" width="110.28515625" style="3" customWidth="1"/>
    <col min="14598" max="14598" width="76.5703125" style="3" customWidth="1"/>
    <col min="14599" max="14599" width="14" style="3" bestFit="1" customWidth="1"/>
    <col min="14600" max="14606" width="12.7109375" style="3" customWidth="1"/>
    <col min="14607" max="14607" width="13.7109375" style="3" customWidth="1"/>
    <col min="14608" max="14608" width="12.42578125" style="3" customWidth="1"/>
    <col min="14609" max="14848" width="8.7109375" style="3"/>
    <col min="14849" max="14849" width="55.7109375" style="3" customWidth="1"/>
    <col min="14850" max="14851" width="8.7109375" style="3"/>
    <col min="14852" max="14852" width="10.7109375" style="3" customWidth="1"/>
    <col min="14853" max="14853" width="110.28515625" style="3" customWidth="1"/>
    <col min="14854" max="14854" width="76.5703125" style="3" customWidth="1"/>
    <col min="14855" max="14855" width="14" style="3" bestFit="1" customWidth="1"/>
    <col min="14856" max="14862" width="12.7109375" style="3" customWidth="1"/>
    <col min="14863" max="14863" width="13.7109375" style="3" customWidth="1"/>
    <col min="14864" max="14864" width="12.42578125" style="3" customWidth="1"/>
    <col min="14865" max="15104" width="8.7109375" style="3"/>
    <col min="15105" max="15105" width="55.7109375" style="3" customWidth="1"/>
    <col min="15106" max="15107" width="8.7109375" style="3"/>
    <col min="15108" max="15108" width="10.7109375" style="3" customWidth="1"/>
    <col min="15109" max="15109" width="110.28515625" style="3" customWidth="1"/>
    <col min="15110" max="15110" width="76.5703125" style="3" customWidth="1"/>
    <col min="15111" max="15111" width="14" style="3" bestFit="1" customWidth="1"/>
    <col min="15112" max="15118" width="12.7109375" style="3" customWidth="1"/>
    <col min="15119" max="15119" width="13.7109375" style="3" customWidth="1"/>
    <col min="15120" max="15120" width="12.42578125" style="3" customWidth="1"/>
    <col min="15121" max="15360" width="8.7109375" style="3"/>
    <col min="15361" max="15361" width="55.7109375" style="3" customWidth="1"/>
    <col min="15362" max="15363" width="8.7109375" style="3"/>
    <col min="15364" max="15364" width="10.7109375" style="3" customWidth="1"/>
    <col min="15365" max="15365" width="110.28515625" style="3" customWidth="1"/>
    <col min="15366" max="15366" width="76.5703125" style="3" customWidth="1"/>
    <col min="15367" max="15367" width="14" style="3" bestFit="1" customWidth="1"/>
    <col min="15368" max="15374" width="12.7109375" style="3" customWidth="1"/>
    <col min="15375" max="15375" width="13.7109375" style="3" customWidth="1"/>
    <col min="15376" max="15376" width="12.42578125" style="3" customWidth="1"/>
    <col min="15377" max="15616" width="8.7109375" style="3"/>
    <col min="15617" max="15617" width="55.7109375" style="3" customWidth="1"/>
    <col min="15618" max="15619" width="8.7109375" style="3"/>
    <col min="15620" max="15620" width="10.7109375" style="3" customWidth="1"/>
    <col min="15621" max="15621" width="110.28515625" style="3" customWidth="1"/>
    <col min="15622" max="15622" width="76.5703125" style="3" customWidth="1"/>
    <col min="15623" max="15623" width="14" style="3" bestFit="1" customWidth="1"/>
    <col min="15624" max="15630" width="12.7109375" style="3" customWidth="1"/>
    <col min="15631" max="15631" width="13.7109375" style="3" customWidth="1"/>
    <col min="15632" max="15632" width="12.42578125" style="3" customWidth="1"/>
    <col min="15633" max="15872" width="8.7109375" style="3"/>
    <col min="15873" max="15873" width="55.7109375" style="3" customWidth="1"/>
    <col min="15874" max="15875" width="8.7109375" style="3"/>
    <col min="15876" max="15876" width="10.7109375" style="3" customWidth="1"/>
    <col min="15877" max="15877" width="110.28515625" style="3" customWidth="1"/>
    <col min="15878" max="15878" width="76.5703125" style="3" customWidth="1"/>
    <col min="15879" max="15879" width="14" style="3" bestFit="1" customWidth="1"/>
    <col min="15880" max="15886" width="12.7109375" style="3" customWidth="1"/>
    <col min="15887" max="15887" width="13.7109375" style="3" customWidth="1"/>
    <col min="15888" max="15888" width="12.42578125" style="3" customWidth="1"/>
    <col min="15889" max="16128" width="8.7109375" style="3"/>
    <col min="16129" max="16129" width="55.7109375" style="3" customWidth="1"/>
    <col min="16130" max="16131" width="8.7109375" style="3"/>
    <col min="16132" max="16132" width="10.7109375" style="3" customWidth="1"/>
    <col min="16133" max="16133" width="110.28515625" style="3" customWidth="1"/>
    <col min="16134" max="16134" width="76.5703125" style="3" customWidth="1"/>
    <col min="16135" max="16135" width="14" style="3" bestFit="1" customWidth="1"/>
    <col min="16136" max="16142" width="12.7109375" style="3" customWidth="1"/>
    <col min="16143" max="16143" width="13.7109375" style="3" customWidth="1"/>
    <col min="16144" max="16144" width="12.42578125" style="3" customWidth="1"/>
    <col min="16145" max="16384" width="8.7109375" style="3"/>
  </cols>
  <sheetData>
    <row r="1" spans="1:14" ht="45" x14ac:dyDescent="0.6">
      <c r="A1" s="11" t="s">
        <v>221</v>
      </c>
      <c r="I1" s="12"/>
    </row>
    <row r="2" spans="1:14" ht="33" customHeight="1" x14ac:dyDescent="0.3">
      <c r="A2" s="13" t="s">
        <v>25</v>
      </c>
      <c r="G2" s="13"/>
      <c r="I2" s="14"/>
    </row>
    <row r="3" spans="1:14" ht="43.5" customHeight="1" x14ac:dyDescent="0.25">
      <c r="A3" s="236" t="s">
        <v>15</v>
      </c>
      <c r="F3" s="237"/>
    </row>
    <row r="4" spans="1:14" x14ac:dyDescent="0.25">
      <c r="A4" s="15" t="s">
        <v>26</v>
      </c>
      <c r="B4" s="486" t="str">
        <f>IF('Proj.gegevens_invest.begroting'!D5&gt;0,'Proj.gegevens_invest.begroting'!D5,"")</f>
        <v/>
      </c>
      <c r="C4" s="487"/>
      <c r="D4" s="487"/>
      <c r="E4" s="488"/>
    </row>
    <row r="5" spans="1:14" x14ac:dyDescent="0.25">
      <c r="A5" s="6"/>
      <c r="B5" s="6"/>
      <c r="C5" s="6"/>
      <c r="D5" s="6"/>
      <c r="E5" s="6"/>
    </row>
    <row r="6" spans="1:14" x14ac:dyDescent="0.25">
      <c r="A6" s="15" t="s">
        <v>27</v>
      </c>
      <c r="B6" s="486" t="str">
        <f>IF('Proj.gegevens_invest.begroting'!D9&gt;0,'Proj.gegevens_invest.begroting'!D9,"")</f>
        <v/>
      </c>
      <c r="C6" s="487"/>
      <c r="D6" s="487"/>
      <c r="E6" s="488"/>
    </row>
    <row r="7" spans="1:14" x14ac:dyDescent="0.25">
      <c r="A7" s="6"/>
      <c r="B7" s="6"/>
      <c r="C7" s="6"/>
      <c r="D7" s="6"/>
      <c r="E7" s="6"/>
    </row>
    <row r="8" spans="1:14" s="15" customFormat="1" ht="12.75" x14ac:dyDescent="0.2">
      <c r="A8" s="15" t="s">
        <v>28</v>
      </c>
      <c r="B8" s="486" t="str">
        <f>Hulpblad_categorieën_parameters!C7</f>
        <v>Elektrolyser met aansluiting gekoppeld aan het elektriciteitsnet</v>
      </c>
      <c r="C8" s="487"/>
      <c r="D8" s="487"/>
      <c r="E8" s="488"/>
      <c r="F8" s="20"/>
      <c r="G8" s="20"/>
      <c r="H8" s="20"/>
      <c r="I8" s="20"/>
      <c r="J8" s="20"/>
      <c r="K8" s="20"/>
      <c r="L8" s="20"/>
      <c r="M8" s="20"/>
      <c r="N8" s="20"/>
    </row>
    <row r="9" spans="1:14" s="15" customFormat="1" x14ac:dyDescent="0.25">
      <c r="A9" s="228"/>
      <c r="C9" s="3"/>
      <c r="D9" s="3"/>
      <c r="E9" s="3"/>
      <c r="F9" s="20"/>
      <c r="G9" s="20"/>
      <c r="H9" s="20"/>
      <c r="I9" s="20"/>
      <c r="J9" s="20"/>
      <c r="K9" s="20"/>
      <c r="L9" s="20"/>
      <c r="M9" s="20"/>
      <c r="N9" s="20"/>
    </row>
    <row r="10" spans="1:14" ht="32.25" customHeight="1" x14ac:dyDescent="0.25">
      <c r="A10" s="236" t="s">
        <v>29</v>
      </c>
      <c r="B10" s="6"/>
      <c r="C10" s="6"/>
      <c r="D10" s="6"/>
      <c r="E10" s="6"/>
      <c r="F10" s="211"/>
    </row>
    <row r="11" spans="1:14" ht="12.75" customHeight="1" x14ac:dyDescent="0.25">
      <c r="A11" s="6" t="s">
        <v>242</v>
      </c>
      <c r="B11" s="519">
        <f>'Proj.gegevens_invest.begroting'!D14</f>
        <v>0</v>
      </c>
      <c r="C11" s="520"/>
      <c r="D11" s="238" t="s">
        <v>175</v>
      </c>
    </row>
    <row r="12" spans="1:14" ht="12.75" customHeight="1" x14ac:dyDescent="0.25">
      <c r="A12" s="6" t="s">
        <v>310</v>
      </c>
      <c r="B12" s="515">
        <f>'Proj.gegevens_invest.begroting'!D15</f>
        <v>0</v>
      </c>
      <c r="C12" s="516"/>
      <c r="D12" s="238" t="s">
        <v>231</v>
      </c>
    </row>
    <row r="13" spans="1:14" ht="12.75" customHeight="1" x14ac:dyDescent="0.25">
      <c r="A13" s="6" t="s">
        <v>296</v>
      </c>
      <c r="B13" s="502">
        <f>'Proj.gegevens_invest.begroting'!D19</f>
        <v>0</v>
      </c>
      <c r="C13" s="503"/>
      <c r="D13" s="3" t="s">
        <v>230</v>
      </c>
      <c r="F13" s="15"/>
    </row>
    <row r="14" spans="1:14" ht="12.75" customHeight="1" x14ac:dyDescent="0.25">
      <c r="A14" s="6" t="s">
        <v>297</v>
      </c>
      <c r="B14" s="502">
        <f>'Proj.gegevens_invest.begroting'!D20</f>
        <v>0</v>
      </c>
      <c r="C14" s="503"/>
      <c r="D14" s="3" t="s">
        <v>233</v>
      </c>
      <c r="F14" s="15"/>
    </row>
    <row r="15" spans="1:14" ht="12.75" customHeight="1" x14ac:dyDescent="0.25">
      <c r="A15" s="6" t="s">
        <v>298</v>
      </c>
      <c r="B15" s="502">
        <f>'Proj.gegevens_invest.begroting'!D24</f>
        <v>0</v>
      </c>
      <c r="C15" s="503"/>
      <c r="D15" s="22" t="s">
        <v>230</v>
      </c>
      <c r="E15" s="517" t="s">
        <v>311</v>
      </c>
      <c r="F15" s="239"/>
    </row>
    <row r="16" spans="1:14" ht="12.75" customHeight="1" x14ac:dyDescent="0.25">
      <c r="A16" s="6" t="s">
        <v>299</v>
      </c>
      <c r="B16" s="502">
        <f>'Proj.gegevens_invest.begroting'!D25</f>
        <v>0</v>
      </c>
      <c r="C16" s="504"/>
      <c r="D16" s="238" t="s">
        <v>233</v>
      </c>
      <c r="E16" s="518"/>
      <c r="F16" s="239"/>
    </row>
    <row r="17" spans="1:15" ht="12.75" customHeight="1" x14ac:dyDescent="0.25">
      <c r="A17" s="6" t="s">
        <v>300</v>
      </c>
      <c r="B17" s="300"/>
      <c r="C17" s="306">
        <f>'Proj.gegevens_invest.begroting'!D29</f>
        <v>0</v>
      </c>
      <c r="D17" s="238" t="s">
        <v>230</v>
      </c>
      <c r="E17" s="518"/>
      <c r="F17" s="239"/>
    </row>
    <row r="18" spans="1:15" ht="12.75" customHeight="1" x14ac:dyDescent="0.25">
      <c r="A18" s="6" t="s">
        <v>301</v>
      </c>
      <c r="B18" s="300"/>
      <c r="C18" s="306">
        <f>'Proj.gegevens_invest.begroting'!D30</f>
        <v>0</v>
      </c>
      <c r="D18" s="238" t="s">
        <v>233</v>
      </c>
      <c r="E18" s="518"/>
      <c r="F18" s="239"/>
    </row>
    <row r="19" spans="1:15" ht="12.75" customHeight="1" x14ac:dyDescent="0.25">
      <c r="A19" s="6" t="s">
        <v>302</v>
      </c>
      <c r="B19" s="300"/>
      <c r="C19" s="305">
        <f>'Proj.gegevens_invest.begroting'!D34</f>
        <v>0</v>
      </c>
      <c r="D19" s="238" t="s">
        <v>230</v>
      </c>
      <c r="E19" s="240"/>
      <c r="F19" s="239"/>
    </row>
    <row r="20" spans="1:15" ht="12.75" customHeight="1" x14ac:dyDescent="0.25">
      <c r="A20" s="6" t="s">
        <v>303</v>
      </c>
      <c r="B20" s="300"/>
      <c r="C20" s="305">
        <f>'Proj.gegevens_invest.begroting'!D35</f>
        <v>0</v>
      </c>
      <c r="D20" s="238" t="s">
        <v>233</v>
      </c>
      <c r="E20" s="240"/>
      <c r="F20" s="239"/>
    </row>
    <row r="21" spans="1:15" ht="12.75" customHeight="1" x14ac:dyDescent="0.25">
      <c r="A21" s="6" t="s">
        <v>304</v>
      </c>
      <c r="B21" s="502">
        <f>B13+B15</f>
        <v>0</v>
      </c>
      <c r="C21" s="504"/>
      <c r="D21" s="22" t="s">
        <v>230</v>
      </c>
      <c r="E21" s="241"/>
      <c r="F21" s="15"/>
    </row>
    <row r="22" spans="1:15" ht="12.75" customHeight="1" x14ac:dyDescent="0.25">
      <c r="A22" s="6" t="s">
        <v>305</v>
      </c>
      <c r="B22" s="507">
        <f>B14+B16</f>
        <v>0</v>
      </c>
      <c r="C22" s="508"/>
      <c r="D22" s="22" t="s">
        <v>233</v>
      </c>
      <c r="E22" s="241"/>
      <c r="F22" s="15"/>
    </row>
    <row r="23" spans="1:15" ht="12.75" customHeight="1" x14ac:dyDescent="0.25">
      <c r="A23" s="15"/>
      <c r="B23" s="242"/>
      <c r="C23" s="243"/>
      <c r="D23" s="22"/>
      <c r="E23" s="241"/>
      <c r="F23" s="15"/>
    </row>
    <row r="24" spans="1:15" ht="12.75" customHeight="1" x14ac:dyDescent="0.25">
      <c r="A24" s="6" t="s">
        <v>307</v>
      </c>
      <c r="B24" s="509">
        <f>'Proj.gegevens_invest.begroting'!D21</f>
        <v>0</v>
      </c>
      <c r="C24" s="510"/>
      <c r="D24" s="22"/>
      <c r="E24" s="217"/>
    </row>
    <row r="25" spans="1:15" ht="12.75" customHeight="1" x14ac:dyDescent="0.25">
      <c r="A25" s="6" t="s">
        <v>306</v>
      </c>
      <c r="B25" s="505">
        <f>'Proj.gegevens_invest.begroting'!D26</f>
        <v>0</v>
      </c>
      <c r="C25" s="506"/>
      <c r="D25" s="22"/>
      <c r="E25" s="217"/>
    </row>
    <row r="26" spans="1:15" ht="12.75" customHeight="1" x14ac:dyDescent="0.25">
      <c r="A26" s="6" t="s">
        <v>308</v>
      </c>
      <c r="B26" s="300"/>
      <c r="C26" s="307">
        <f>'Proj.gegevens_invest.begroting'!D31</f>
        <v>0</v>
      </c>
      <c r="D26" s="22"/>
      <c r="E26" s="217"/>
    </row>
    <row r="27" spans="1:15" ht="12.75" customHeight="1" x14ac:dyDescent="0.25">
      <c r="A27" s="6" t="s">
        <v>309</v>
      </c>
      <c r="B27" s="301"/>
      <c r="C27" s="308">
        <f>'Proj.gegevens_invest.begroting'!D36</f>
        <v>0</v>
      </c>
      <c r="D27" s="22"/>
      <c r="E27" s="217"/>
    </row>
    <row r="28" spans="1:15" ht="12.75" customHeight="1" x14ac:dyDescent="0.25">
      <c r="A28" s="6"/>
      <c r="B28" s="242"/>
      <c r="C28" s="244"/>
      <c r="D28" s="22"/>
      <c r="E28" s="217"/>
    </row>
    <row r="29" spans="1:15" ht="12.75" customHeight="1" x14ac:dyDescent="0.25">
      <c r="A29" s="15" t="s">
        <v>232</v>
      </c>
      <c r="B29" s="511">
        <f>B13</f>
        <v>0</v>
      </c>
      <c r="C29" s="511"/>
      <c r="D29" s="22" t="s">
        <v>234</v>
      </c>
      <c r="E29" s="217"/>
    </row>
    <row r="30" spans="1:15" ht="12.75" customHeight="1" x14ac:dyDescent="0.25">
      <c r="C30" s="225"/>
      <c r="D30" s="219"/>
      <c r="E30" s="17"/>
    </row>
    <row r="31" spans="1:15" ht="24" customHeight="1" x14ac:dyDescent="0.4">
      <c r="A31" s="236" t="s">
        <v>30</v>
      </c>
      <c r="D31" s="24"/>
      <c r="E31" s="15"/>
      <c r="F31" s="15"/>
      <c r="G31" s="15"/>
      <c r="H31" s="15"/>
      <c r="I31" s="15"/>
      <c r="J31" s="15"/>
      <c r="K31" s="15"/>
      <c r="L31" s="15"/>
      <c r="M31" s="15"/>
      <c r="N31" s="15"/>
      <c r="O31" s="15"/>
    </row>
    <row r="32" spans="1:15" ht="135" customHeight="1" x14ac:dyDescent="0.25">
      <c r="A32" s="512" t="str">
        <f>VLOOKUP(Hulpblad_overig!A76,Hulpblad_overig!A71:B73,2,FALSE)</f>
        <v xml:space="preserve">Ter onderbouwing geeft u een beschrijving van uw productie-installatie voor waterstof en een beschrijving van het wind- en/of zonnepark(en) waarmee voor de waterstofproductie-installatie een stroomcontract (PPA) beoogt te worden afgesloten. Daarnaast geeft u een onderbouwing van de jaarlijkse hoeveelheid waterstofproductie met hierbij een waterstofopbrengstberekening.  
Verder onderbouwt u dat uw waterstof productie-installatie voornamelijk in staat is alleen te produceren op de electriciteitsproductie van het wind- en/of zonnepark(en) waarmee voor de waterstofproductie-installatie een stroomcontract (PPA) beoogt te worden afgesloten. </v>
      </c>
      <c r="B32" s="513"/>
      <c r="C32" s="513"/>
      <c r="D32" s="513"/>
      <c r="E32" s="514"/>
      <c r="F32" s="245"/>
    </row>
    <row r="33" spans="1:16" ht="18.75" customHeight="1" x14ac:dyDescent="0.25">
      <c r="A33" s="2"/>
      <c r="B33" s="1"/>
      <c r="C33" s="1"/>
      <c r="D33" s="1"/>
      <c r="E33" s="1"/>
    </row>
    <row r="34" spans="1:16" ht="24" customHeight="1" x14ac:dyDescent="0.25">
      <c r="A34" s="236" t="s">
        <v>240</v>
      </c>
      <c r="B34" s="1"/>
      <c r="C34" s="1"/>
      <c r="D34" s="1"/>
      <c r="E34" s="1"/>
    </row>
    <row r="35" spans="1:16" ht="76.5" customHeight="1" x14ac:dyDescent="0.25">
      <c r="A35" s="499" t="s">
        <v>241</v>
      </c>
      <c r="B35" s="500"/>
      <c r="C35" s="500"/>
      <c r="D35" s="500"/>
      <c r="E35" s="501"/>
      <c r="F35" s="6"/>
      <c r="G35" s="23"/>
      <c r="H35" s="17"/>
      <c r="I35" s="17"/>
      <c r="J35" s="17"/>
      <c r="K35" s="17"/>
      <c r="L35" s="17"/>
      <c r="M35" s="17"/>
      <c r="N35" s="17"/>
      <c r="O35" s="17"/>
    </row>
    <row r="36" spans="1:16" ht="18.75" customHeight="1" x14ac:dyDescent="0.25">
      <c r="B36" s="3"/>
      <c r="C36" s="6"/>
      <c r="D36" s="6"/>
      <c r="E36" s="6"/>
      <c r="G36" s="23"/>
      <c r="H36" s="224"/>
      <c r="I36" s="17"/>
      <c r="J36" s="17"/>
      <c r="K36" s="17"/>
      <c r="L36" s="17"/>
      <c r="M36" s="17"/>
      <c r="N36" s="17"/>
      <c r="O36" s="17"/>
    </row>
    <row r="37" spans="1:16" s="15" customFormat="1" ht="18" x14ac:dyDescent="0.25">
      <c r="A37" s="13"/>
      <c r="G37" s="19"/>
      <c r="H37" s="20"/>
      <c r="I37" s="20"/>
      <c r="J37" s="20"/>
      <c r="K37" s="20"/>
      <c r="L37" s="20"/>
      <c r="M37" s="20"/>
      <c r="N37" s="20"/>
      <c r="O37" s="20"/>
      <c r="P37" s="20"/>
    </row>
    <row r="38" spans="1:16" s="15" customFormat="1" x14ac:dyDescent="0.25">
      <c r="D38" s="3"/>
      <c r="E38" s="3"/>
      <c r="G38" s="19"/>
      <c r="H38" s="20"/>
      <c r="I38" s="20"/>
      <c r="J38" s="20"/>
      <c r="K38" s="20"/>
      <c r="L38" s="20"/>
      <c r="M38" s="20"/>
      <c r="N38" s="20"/>
      <c r="O38" s="20"/>
      <c r="P38" s="20"/>
    </row>
    <row r="39" spans="1:16" s="15" customFormat="1" x14ac:dyDescent="0.25">
      <c r="A39" s="6"/>
      <c r="D39" s="3"/>
      <c r="E39" s="3"/>
      <c r="G39" s="19"/>
      <c r="H39" s="20"/>
      <c r="I39" s="20"/>
      <c r="J39" s="20"/>
      <c r="K39" s="20"/>
      <c r="L39" s="20"/>
      <c r="M39" s="20"/>
      <c r="N39" s="20"/>
      <c r="O39" s="20"/>
      <c r="P39" s="20"/>
    </row>
    <row r="40" spans="1:16" s="15" customFormat="1" x14ac:dyDescent="0.25">
      <c r="A40" s="6"/>
      <c r="D40" s="3"/>
      <c r="E40" s="233"/>
      <c r="G40" s="19"/>
      <c r="H40" s="20"/>
      <c r="I40" s="20"/>
      <c r="J40" s="20"/>
      <c r="K40" s="20"/>
      <c r="L40" s="20"/>
      <c r="M40" s="20"/>
      <c r="N40" s="20"/>
      <c r="O40" s="20"/>
      <c r="P40" s="20"/>
    </row>
    <row r="41" spans="1:16" s="15" customFormat="1" x14ac:dyDescent="0.25">
      <c r="A41" s="6"/>
      <c r="D41" s="3"/>
      <c r="E41" s="7"/>
      <c r="G41" s="19"/>
      <c r="H41" s="20"/>
      <c r="I41" s="20"/>
      <c r="J41" s="20"/>
      <c r="K41" s="20"/>
      <c r="L41" s="20"/>
      <c r="M41" s="20"/>
      <c r="N41" s="20"/>
      <c r="O41" s="20"/>
      <c r="P41" s="20"/>
    </row>
    <row r="42" spans="1:16" s="15" customFormat="1" x14ac:dyDescent="0.25">
      <c r="D42" s="3"/>
      <c r="E42" s="7"/>
      <c r="G42" s="19"/>
      <c r="H42" s="20"/>
      <c r="I42" s="20"/>
      <c r="J42" s="20"/>
      <c r="K42" s="20"/>
      <c r="L42" s="20"/>
      <c r="M42" s="20"/>
      <c r="N42" s="20"/>
      <c r="O42" s="20"/>
      <c r="P42" s="20"/>
    </row>
    <row r="43" spans="1:16" s="15" customFormat="1" x14ac:dyDescent="0.25">
      <c r="A43" s="6"/>
      <c r="D43" s="3"/>
      <c r="E43" s="7"/>
      <c r="G43" s="19"/>
      <c r="H43" s="20"/>
      <c r="I43" s="20"/>
      <c r="J43" s="20"/>
      <c r="K43" s="20"/>
      <c r="L43" s="20"/>
      <c r="M43" s="20"/>
      <c r="N43" s="20"/>
      <c r="O43" s="20"/>
      <c r="P43" s="20"/>
    </row>
    <row r="44" spans="1:16" s="15" customFormat="1" x14ac:dyDescent="0.25">
      <c r="A44" s="6"/>
      <c r="D44" s="3"/>
      <c r="E44" s="233"/>
      <c r="G44" s="19"/>
      <c r="H44" s="20"/>
      <c r="I44" s="20"/>
      <c r="J44" s="20"/>
      <c r="K44" s="20"/>
      <c r="L44" s="20"/>
      <c r="M44" s="20"/>
      <c r="N44" s="20"/>
      <c r="O44" s="20"/>
      <c r="P44" s="20"/>
    </row>
    <row r="45" spans="1:16" s="15" customFormat="1" x14ac:dyDescent="0.25">
      <c r="A45" s="6"/>
      <c r="D45" s="3"/>
      <c r="E45" s="7"/>
      <c r="G45" s="19"/>
      <c r="H45" s="20"/>
      <c r="I45" s="20"/>
      <c r="J45" s="20"/>
      <c r="K45" s="20"/>
      <c r="L45" s="20"/>
      <c r="M45" s="20"/>
      <c r="N45" s="20"/>
      <c r="O45" s="20"/>
      <c r="P45" s="20"/>
    </row>
    <row r="46" spans="1:16" s="15" customFormat="1" x14ac:dyDescent="0.25">
      <c r="A46" s="6"/>
      <c r="D46" s="3"/>
      <c r="E46" s="246"/>
      <c r="G46" s="19"/>
      <c r="H46" s="20"/>
      <c r="I46" s="20"/>
      <c r="J46" s="20"/>
      <c r="K46" s="20"/>
      <c r="L46" s="20"/>
      <c r="M46" s="20"/>
      <c r="N46" s="20"/>
      <c r="O46" s="20"/>
      <c r="P46" s="20"/>
    </row>
    <row r="47" spans="1:16" s="15" customFormat="1" x14ac:dyDescent="0.25">
      <c r="A47" s="6"/>
      <c r="D47" s="3"/>
      <c r="E47" s="247"/>
      <c r="G47" s="19"/>
      <c r="H47" s="20"/>
      <c r="I47" s="20"/>
      <c r="J47" s="20"/>
      <c r="K47" s="20"/>
      <c r="L47" s="20"/>
      <c r="M47" s="20"/>
      <c r="N47" s="20"/>
      <c r="O47" s="20"/>
      <c r="P47" s="20"/>
    </row>
    <row r="48" spans="1:16" s="15" customFormat="1" x14ac:dyDescent="0.25">
      <c r="A48" s="3"/>
      <c r="D48" s="3"/>
      <c r="E48" s="25"/>
      <c r="G48" s="19"/>
      <c r="H48" s="20"/>
      <c r="I48" s="20"/>
      <c r="J48" s="20"/>
      <c r="K48" s="20"/>
      <c r="L48" s="20"/>
      <c r="M48" s="20"/>
      <c r="N48" s="20"/>
      <c r="O48" s="20"/>
      <c r="P48" s="20"/>
    </row>
    <row r="49" spans="1:15" ht="18" x14ac:dyDescent="0.25">
      <c r="A49" s="13"/>
      <c r="G49" s="7"/>
      <c r="H49" s="17"/>
      <c r="I49" s="17"/>
      <c r="J49" s="17"/>
      <c r="K49" s="17"/>
      <c r="L49" s="17"/>
      <c r="M49" s="17"/>
      <c r="N49" s="17"/>
      <c r="O49" s="17"/>
    </row>
    <row r="50" spans="1:15" x14ac:dyDescent="0.25">
      <c r="A50" s="15"/>
      <c r="H50" s="17"/>
      <c r="I50" s="17"/>
      <c r="J50" s="17"/>
      <c r="K50" s="17"/>
      <c r="L50" s="17"/>
      <c r="M50" s="17"/>
      <c r="N50" s="17"/>
      <c r="O50" s="17"/>
    </row>
    <row r="51" spans="1:15" ht="12.75" customHeight="1" x14ac:dyDescent="0.25">
      <c r="A51" s="6"/>
      <c r="H51" s="17"/>
      <c r="I51" s="17"/>
      <c r="J51" s="17"/>
      <c r="K51" s="17"/>
      <c r="L51" s="17"/>
      <c r="M51" s="17"/>
      <c r="N51" s="17"/>
      <c r="O51" s="17"/>
    </row>
    <row r="52" spans="1:15" ht="12.75" customHeight="1" x14ac:dyDescent="0.25">
      <c r="A52" s="6"/>
      <c r="E52" s="23"/>
      <c r="H52" s="17"/>
      <c r="I52" s="17"/>
      <c r="J52" s="17"/>
      <c r="K52" s="17"/>
      <c r="L52" s="17"/>
      <c r="M52" s="17"/>
      <c r="N52" s="17"/>
      <c r="O52" s="17"/>
    </row>
    <row r="53" spans="1:15" ht="12.75" customHeight="1" x14ac:dyDescent="0.25">
      <c r="A53" s="6"/>
      <c r="E53" s="248"/>
      <c r="F53" s="6"/>
      <c r="H53" s="17"/>
      <c r="I53" s="17"/>
      <c r="J53" s="17"/>
      <c r="K53" s="17"/>
      <c r="L53" s="17"/>
      <c r="M53" s="17"/>
      <c r="N53" s="17"/>
      <c r="O53" s="17"/>
    </row>
    <row r="54" spans="1:15" ht="12.75" customHeight="1" x14ac:dyDescent="0.25">
      <c r="A54" s="15"/>
      <c r="E54" s="249"/>
      <c r="H54" s="17"/>
      <c r="I54" s="17"/>
      <c r="J54" s="17"/>
      <c r="K54" s="17"/>
      <c r="L54" s="17"/>
      <c r="M54" s="17"/>
      <c r="N54" s="17"/>
      <c r="O54" s="17"/>
    </row>
    <row r="55" spans="1:15" ht="12.75" customHeight="1" x14ac:dyDescent="0.25">
      <c r="A55" s="13"/>
      <c r="E55" s="249"/>
      <c r="H55" s="19"/>
      <c r="I55" s="19"/>
      <c r="J55" s="19"/>
      <c r="K55" s="19"/>
      <c r="L55" s="19"/>
      <c r="M55" s="19"/>
      <c r="N55" s="19"/>
      <c r="O55" s="19"/>
    </row>
    <row r="56" spans="1:15" ht="12.75" customHeight="1" x14ac:dyDescent="0.25">
      <c r="A56" s="15"/>
      <c r="H56" s="17"/>
      <c r="I56" s="17"/>
      <c r="J56" s="17"/>
      <c r="K56" s="17"/>
      <c r="L56" s="17"/>
      <c r="M56" s="17"/>
      <c r="N56" s="17"/>
      <c r="O56" s="17"/>
    </row>
    <row r="57" spans="1:15" x14ac:dyDescent="0.25">
      <c r="A57" s="6"/>
      <c r="H57" s="17"/>
      <c r="I57" s="17"/>
      <c r="J57" s="17"/>
      <c r="K57" s="17"/>
      <c r="L57" s="17"/>
      <c r="M57" s="17"/>
      <c r="N57" s="17"/>
      <c r="O57" s="17"/>
    </row>
    <row r="58" spans="1:15" ht="12.75" customHeight="1" x14ac:dyDescent="0.25">
      <c r="A58" s="6"/>
      <c r="E58" s="7"/>
      <c r="H58" s="17"/>
      <c r="I58" s="17"/>
      <c r="J58" s="17"/>
      <c r="K58" s="17"/>
      <c r="L58" s="17"/>
      <c r="M58" s="17"/>
      <c r="N58" s="17"/>
      <c r="O58" s="17"/>
    </row>
    <row r="59" spans="1:15" ht="12.75" customHeight="1" x14ac:dyDescent="0.25">
      <c r="A59" s="6"/>
      <c r="E59" s="248"/>
      <c r="H59" s="17"/>
      <c r="I59" s="17"/>
      <c r="J59" s="17"/>
      <c r="K59" s="17"/>
      <c r="L59" s="17"/>
      <c r="M59" s="17"/>
      <c r="N59" s="17"/>
      <c r="O59" s="17"/>
    </row>
    <row r="60" spans="1:15" ht="12.75" customHeight="1" x14ac:dyDescent="0.25">
      <c r="A60" s="6"/>
      <c r="E60" s="26"/>
      <c r="H60" s="17"/>
      <c r="I60" s="17"/>
      <c r="J60" s="17"/>
      <c r="K60" s="17"/>
      <c r="L60" s="17"/>
      <c r="M60" s="17"/>
      <c r="N60" s="17"/>
      <c r="O60" s="17"/>
    </row>
    <row r="61" spans="1:15" ht="12.75" customHeight="1" x14ac:dyDescent="0.25">
      <c r="A61" s="6"/>
      <c r="E61" s="249"/>
      <c r="H61" s="17"/>
      <c r="I61" s="17"/>
      <c r="J61" s="17"/>
      <c r="K61" s="17"/>
      <c r="L61" s="17"/>
      <c r="M61" s="17"/>
      <c r="N61" s="17"/>
      <c r="O61" s="17"/>
    </row>
    <row r="62" spans="1:15" ht="12.75" customHeight="1" x14ac:dyDescent="0.25">
      <c r="A62" s="15"/>
      <c r="E62" s="249"/>
      <c r="H62" s="26"/>
      <c r="I62" s="26"/>
      <c r="J62" s="26"/>
      <c r="K62" s="26"/>
      <c r="L62" s="26"/>
      <c r="M62" s="26"/>
      <c r="N62" s="26"/>
      <c r="O62" s="26"/>
    </row>
    <row r="63" spans="1:15" ht="12.75" customHeight="1" x14ac:dyDescent="0.25">
      <c r="A63" s="15"/>
      <c r="E63" s="249"/>
      <c r="H63" s="19"/>
      <c r="I63" s="19"/>
      <c r="J63" s="19"/>
      <c r="K63" s="19"/>
      <c r="L63" s="19"/>
      <c r="M63" s="19"/>
      <c r="N63" s="19"/>
      <c r="O63" s="19"/>
    </row>
    <row r="64" spans="1:15" ht="12.75" customHeight="1" x14ac:dyDescent="0.25">
      <c r="A64" s="15"/>
      <c r="E64" s="249"/>
      <c r="H64" s="19"/>
      <c r="J64" s="19"/>
      <c r="K64" s="19"/>
      <c r="L64" s="19"/>
      <c r="M64" s="19"/>
      <c r="N64" s="19"/>
      <c r="O64" s="19"/>
    </row>
    <row r="65" spans="1:15" x14ac:dyDescent="0.25">
      <c r="B65" s="9"/>
      <c r="H65" s="17"/>
      <c r="I65" s="17"/>
      <c r="J65" s="17"/>
      <c r="K65" s="17"/>
      <c r="L65" s="17"/>
      <c r="M65" s="17"/>
      <c r="N65" s="17"/>
      <c r="O65" s="17"/>
    </row>
    <row r="66" spans="1:15" x14ac:dyDescent="0.25">
      <c r="B66" s="6"/>
      <c r="C66" s="9"/>
      <c r="D66" s="9"/>
      <c r="E66" s="9"/>
      <c r="G66" s="17"/>
      <c r="H66" s="7"/>
      <c r="I66" s="7"/>
      <c r="J66" s="7"/>
      <c r="K66" s="7"/>
      <c r="L66" s="7"/>
      <c r="M66" s="7"/>
      <c r="N66" s="7"/>
      <c r="O66" s="7"/>
    </row>
    <row r="67" spans="1:15" x14ac:dyDescent="0.25">
      <c r="A67" s="15"/>
      <c r="C67" s="6"/>
      <c r="D67" s="6"/>
      <c r="E67" s="6"/>
      <c r="G67" s="17"/>
      <c r="H67" s="7"/>
      <c r="I67" s="7"/>
      <c r="J67" s="7"/>
      <c r="K67" s="7"/>
      <c r="L67" s="7"/>
      <c r="M67" s="7"/>
      <c r="N67" s="7"/>
      <c r="O67" s="7"/>
    </row>
    <row r="68" spans="1:15" x14ac:dyDescent="0.25">
      <c r="G68" s="17"/>
      <c r="H68" s="19"/>
      <c r="I68" s="19"/>
      <c r="J68" s="19"/>
      <c r="K68" s="19"/>
      <c r="L68" s="19"/>
      <c r="M68" s="19"/>
      <c r="N68" s="19"/>
      <c r="O68" s="19"/>
    </row>
    <row r="69" spans="1:15" x14ac:dyDescent="0.25">
      <c r="A69" s="27"/>
      <c r="G69" s="17"/>
      <c r="H69" s="7"/>
      <c r="I69" s="7"/>
      <c r="J69" s="7"/>
      <c r="K69" s="7"/>
      <c r="L69" s="7"/>
      <c r="M69" s="7"/>
      <c r="N69" s="7"/>
      <c r="O69" s="7"/>
    </row>
    <row r="70" spans="1:15" s="15" customFormat="1" x14ac:dyDescent="0.25">
      <c r="A70" s="3"/>
      <c r="G70" s="20"/>
      <c r="H70" s="19"/>
      <c r="I70" s="19"/>
      <c r="J70" s="19"/>
      <c r="K70" s="19"/>
      <c r="L70" s="19"/>
      <c r="M70" s="19"/>
      <c r="N70" s="19"/>
      <c r="O70" s="19"/>
    </row>
    <row r="71" spans="1:15" ht="18" x14ac:dyDescent="0.25">
      <c r="A71" s="13"/>
      <c r="H71" s="7"/>
      <c r="I71" s="7"/>
      <c r="J71" s="7"/>
      <c r="K71" s="7"/>
      <c r="L71" s="7"/>
      <c r="M71" s="7"/>
      <c r="N71" s="7"/>
      <c r="O71" s="7"/>
    </row>
    <row r="72" spans="1:15" x14ac:dyDescent="0.25">
      <c r="A72" s="6"/>
      <c r="H72" s="17"/>
      <c r="I72" s="17"/>
      <c r="J72" s="17"/>
      <c r="K72" s="17"/>
      <c r="L72" s="17"/>
      <c r="M72" s="17"/>
      <c r="N72" s="17"/>
      <c r="O72" s="17"/>
    </row>
    <row r="73" spans="1:15" x14ac:dyDescent="0.25">
      <c r="B73" s="9"/>
      <c r="H73" s="17"/>
      <c r="I73" s="17"/>
      <c r="J73" s="17"/>
      <c r="K73" s="17"/>
      <c r="L73" s="17"/>
      <c r="M73" s="17"/>
      <c r="N73" s="17"/>
      <c r="O73" s="19"/>
    </row>
    <row r="74" spans="1:15" x14ac:dyDescent="0.25">
      <c r="B74" s="17"/>
      <c r="C74" s="9"/>
      <c r="D74" s="9"/>
      <c r="E74" s="9"/>
      <c r="G74" s="7"/>
      <c r="H74" s="7"/>
      <c r="I74" s="7"/>
      <c r="J74" s="7"/>
      <c r="K74" s="7"/>
      <c r="L74" s="7"/>
      <c r="M74" s="7"/>
      <c r="N74" s="7"/>
      <c r="O74" s="7"/>
    </row>
    <row r="75" spans="1:15" x14ac:dyDescent="0.25">
      <c r="B75" s="17"/>
      <c r="C75" s="17"/>
      <c r="D75" s="17"/>
      <c r="E75" s="17"/>
      <c r="G75" s="7"/>
      <c r="H75" s="7"/>
      <c r="I75" s="7"/>
      <c r="J75" s="7"/>
      <c r="K75" s="7"/>
      <c r="L75" s="7"/>
      <c r="M75" s="7"/>
      <c r="N75" s="7"/>
      <c r="O75" s="7"/>
    </row>
    <row r="76" spans="1:15" x14ac:dyDescent="0.25">
      <c r="B76" s="17"/>
      <c r="C76" s="17"/>
      <c r="D76" s="17"/>
      <c r="E76" s="17"/>
      <c r="G76" s="7"/>
      <c r="H76" s="7"/>
      <c r="I76" s="7"/>
      <c r="J76" s="7"/>
      <c r="K76" s="7"/>
      <c r="L76" s="7"/>
      <c r="M76" s="7"/>
      <c r="N76" s="7"/>
      <c r="O76" s="7"/>
    </row>
    <row r="77" spans="1:15" x14ac:dyDescent="0.25">
      <c r="B77" s="9"/>
      <c r="C77" s="17"/>
      <c r="D77" s="17"/>
      <c r="E77" s="17"/>
      <c r="G77" s="7"/>
      <c r="H77" s="7"/>
      <c r="I77" s="7"/>
      <c r="J77" s="7"/>
      <c r="K77" s="7"/>
      <c r="L77" s="7"/>
      <c r="M77" s="7"/>
      <c r="N77" s="7"/>
      <c r="O77" s="7"/>
    </row>
    <row r="78" spans="1:15" x14ac:dyDescent="0.25">
      <c r="B78" s="17"/>
      <c r="C78" s="9"/>
      <c r="D78" s="9"/>
      <c r="E78" s="9"/>
      <c r="G78" s="7"/>
      <c r="H78" s="7"/>
      <c r="I78" s="7"/>
      <c r="J78" s="7"/>
      <c r="K78" s="7"/>
      <c r="L78" s="7"/>
      <c r="M78" s="7"/>
      <c r="N78" s="7"/>
      <c r="O78" s="7"/>
    </row>
    <row r="79" spans="1:15" x14ac:dyDescent="0.25">
      <c r="B79" s="17"/>
      <c r="C79" s="17"/>
      <c r="D79" s="17"/>
      <c r="E79" s="17"/>
      <c r="G79" s="7"/>
      <c r="H79" s="7"/>
      <c r="I79" s="7"/>
      <c r="J79" s="7"/>
      <c r="K79" s="7"/>
      <c r="L79" s="7"/>
      <c r="M79" s="7"/>
      <c r="N79" s="7"/>
      <c r="O79" s="7"/>
    </row>
    <row r="80" spans="1:15" x14ac:dyDescent="0.25">
      <c r="B80" s="17"/>
      <c r="C80" s="17"/>
      <c r="D80" s="17"/>
      <c r="E80" s="17"/>
      <c r="G80" s="7"/>
      <c r="H80" s="7"/>
      <c r="I80" s="7"/>
      <c r="J80" s="7"/>
      <c r="K80" s="7"/>
      <c r="L80" s="7"/>
      <c r="M80" s="7"/>
      <c r="N80" s="7"/>
      <c r="O80" s="7"/>
    </row>
    <row r="81" spans="1:15" x14ac:dyDescent="0.25">
      <c r="B81" s="17"/>
      <c r="C81" s="17"/>
      <c r="D81" s="17"/>
      <c r="E81" s="17"/>
      <c r="G81" s="7"/>
      <c r="H81" s="7"/>
      <c r="I81" s="7"/>
      <c r="J81" s="7"/>
      <c r="K81" s="7"/>
      <c r="L81" s="7"/>
      <c r="M81" s="7"/>
      <c r="N81" s="7"/>
      <c r="O81" s="7"/>
    </row>
    <row r="82" spans="1:15" x14ac:dyDescent="0.25">
      <c r="B82" s="9"/>
      <c r="C82" s="17"/>
      <c r="D82" s="17"/>
      <c r="E82" s="17"/>
      <c r="G82" s="7"/>
      <c r="H82" s="7"/>
      <c r="I82" s="7"/>
      <c r="J82" s="7"/>
      <c r="K82" s="7"/>
      <c r="L82" s="7"/>
      <c r="M82" s="7"/>
      <c r="N82" s="7"/>
      <c r="O82" s="7"/>
    </row>
    <row r="83" spans="1:15" x14ac:dyDescent="0.25">
      <c r="B83" s="17"/>
      <c r="C83" s="9"/>
      <c r="D83" s="9"/>
      <c r="E83" s="9"/>
      <c r="G83" s="7"/>
      <c r="H83" s="7"/>
      <c r="I83" s="7"/>
      <c r="J83" s="7"/>
      <c r="K83" s="7"/>
      <c r="L83" s="7"/>
      <c r="M83" s="7"/>
      <c r="N83" s="7"/>
      <c r="O83" s="7"/>
    </row>
    <row r="84" spans="1:15" x14ac:dyDescent="0.25">
      <c r="B84" s="17"/>
      <c r="C84" s="17"/>
      <c r="D84" s="17"/>
      <c r="E84" s="17"/>
      <c r="G84" s="7"/>
      <c r="H84" s="7"/>
      <c r="I84" s="7"/>
      <c r="J84" s="7"/>
      <c r="K84" s="7"/>
      <c r="L84" s="7"/>
      <c r="M84" s="7"/>
      <c r="N84" s="7"/>
      <c r="O84" s="7"/>
    </row>
    <row r="85" spans="1:15" x14ac:dyDescent="0.25">
      <c r="A85" s="15"/>
      <c r="B85" s="20"/>
      <c r="C85" s="17"/>
      <c r="D85" s="17"/>
      <c r="E85" s="17"/>
      <c r="F85" s="217"/>
      <c r="G85" s="23"/>
      <c r="H85" s="23"/>
      <c r="I85" s="23"/>
      <c r="J85" s="23"/>
      <c r="K85" s="23"/>
      <c r="L85" s="23"/>
      <c r="M85" s="23"/>
      <c r="N85" s="23"/>
      <c r="O85" s="23"/>
    </row>
    <row r="86" spans="1:15" s="15" customFormat="1" ht="12.75" x14ac:dyDescent="0.2">
      <c r="B86" s="20"/>
      <c r="C86" s="20"/>
      <c r="D86" s="20"/>
      <c r="E86" s="20"/>
      <c r="G86" s="19"/>
      <c r="H86" s="19"/>
      <c r="I86" s="19"/>
      <c r="J86" s="19"/>
      <c r="K86" s="19"/>
      <c r="L86" s="19"/>
      <c r="M86" s="19"/>
      <c r="N86" s="19"/>
      <c r="O86" s="19"/>
    </row>
    <row r="87" spans="1:15" s="15" customFormat="1" ht="12.75" x14ac:dyDescent="0.2">
      <c r="B87" s="20"/>
      <c r="C87" s="20"/>
      <c r="D87" s="20"/>
      <c r="E87" s="20"/>
      <c r="G87" s="19"/>
      <c r="H87" s="19"/>
      <c r="I87" s="19"/>
      <c r="J87" s="19"/>
      <c r="K87" s="19"/>
      <c r="L87" s="19"/>
      <c r="M87" s="19"/>
      <c r="N87" s="19"/>
      <c r="O87" s="19"/>
    </row>
    <row r="88" spans="1:15" s="15" customFormat="1" ht="12.75" x14ac:dyDescent="0.2">
      <c r="A88" s="6"/>
      <c r="B88" s="9"/>
      <c r="C88" s="20"/>
      <c r="D88" s="20"/>
      <c r="E88" s="20"/>
      <c r="G88" s="20"/>
      <c r="H88" s="20"/>
      <c r="I88" s="20"/>
      <c r="J88" s="20"/>
      <c r="K88" s="20"/>
      <c r="L88" s="20"/>
      <c r="M88" s="20"/>
      <c r="N88" s="20"/>
      <c r="O88" s="20"/>
    </row>
    <row r="89" spans="1:15" s="15" customFormat="1" ht="12.75" x14ac:dyDescent="0.2">
      <c r="B89" s="8"/>
      <c r="C89" s="20"/>
      <c r="D89" s="6"/>
      <c r="E89" s="6"/>
    </row>
    <row r="90" spans="1:15" s="15" customFormat="1" ht="12.75" x14ac:dyDescent="0.2">
      <c r="B90" s="8"/>
      <c r="C90" s="8"/>
      <c r="D90" s="23"/>
      <c r="E90" s="250"/>
      <c r="F90" s="251"/>
      <c r="G90" s="19"/>
      <c r="H90" s="23"/>
      <c r="I90" s="23"/>
      <c r="J90" s="23"/>
      <c r="K90" s="23"/>
      <c r="L90" s="23"/>
      <c r="M90" s="23"/>
      <c r="N90" s="23"/>
      <c r="O90" s="23"/>
    </row>
    <row r="91" spans="1:15" s="15" customFormat="1" x14ac:dyDescent="0.25">
      <c r="B91" s="8"/>
      <c r="C91" s="8"/>
      <c r="D91" s="23"/>
      <c r="E91" s="250"/>
      <c r="F91" s="251"/>
      <c r="G91" s="19"/>
      <c r="H91" s="7"/>
      <c r="I91" s="23"/>
      <c r="J91" s="23"/>
      <c r="K91" s="23"/>
      <c r="L91" s="23"/>
      <c r="M91" s="23"/>
      <c r="N91" s="23"/>
      <c r="O91" s="23"/>
    </row>
    <row r="92" spans="1:15" s="15" customFormat="1" x14ac:dyDescent="0.25">
      <c r="B92" s="8"/>
      <c r="C92" s="8"/>
      <c r="D92" s="23"/>
      <c r="E92" s="250"/>
      <c r="F92" s="251"/>
      <c r="G92" s="19"/>
      <c r="H92" s="7"/>
      <c r="I92" s="23"/>
      <c r="J92" s="23"/>
      <c r="K92" s="23"/>
      <c r="L92" s="23"/>
      <c r="M92" s="23"/>
      <c r="N92" s="23"/>
      <c r="O92" s="23"/>
    </row>
    <row r="93" spans="1:15" s="15" customFormat="1" x14ac:dyDescent="0.25">
      <c r="B93" s="8"/>
      <c r="C93" s="8"/>
      <c r="D93" s="23"/>
      <c r="E93" s="250"/>
      <c r="F93" s="251"/>
      <c r="G93" s="19"/>
      <c r="H93" s="7"/>
      <c r="I93" s="23"/>
      <c r="J93" s="23"/>
      <c r="K93" s="23"/>
      <c r="L93" s="23"/>
      <c r="M93" s="23"/>
      <c r="N93" s="23"/>
      <c r="O93" s="23"/>
    </row>
    <row r="94" spans="1:15" s="15" customFormat="1" x14ac:dyDescent="0.25">
      <c r="B94" s="8"/>
      <c r="C94" s="8"/>
      <c r="D94" s="23"/>
      <c r="E94" s="250"/>
      <c r="F94" s="251"/>
      <c r="G94" s="19"/>
      <c r="H94" s="7"/>
      <c r="I94" s="23"/>
      <c r="J94" s="23"/>
      <c r="K94" s="23"/>
      <c r="L94" s="23"/>
      <c r="M94" s="23"/>
      <c r="N94" s="23"/>
      <c r="O94" s="23"/>
    </row>
    <row r="95" spans="1:15" s="15" customFormat="1" x14ac:dyDescent="0.25">
      <c r="B95" s="8"/>
      <c r="C95" s="8"/>
      <c r="D95" s="23"/>
      <c r="E95" s="250"/>
      <c r="G95" s="19"/>
      <c r="H95" s="7"/>
      <c r="I95" s="23"/>
      <c r="J95" s="23"/>
      <c r="K95" s="23"/>
      <c r="L95" s="23"/>
      <c r="M95" s="23"/>
      <c r="N95" s="23"/>
      <c r="O95" s="23"/>
    </row>
    <row r="96" spans="1:15" s="15" customFormat="1" x14ac:dyDescent="0.25">
      <c r="B96" s="8"/>
      <c r="C96" s="8"/>
      <c r="D96" s="23"/>
      <c r="E96" s="250"/>
      <c r="G96" s="19"/>
      <c r="H96" s="7"/>
      <c r="I96" s="23"/>
      <c r="J96" s="23"/>
      <c r="K96" s="23"/>
      <c r="L96" s="23"/>
      <c r="M96" s="23"/>
      <c r="N96" s="23"/>
      <c r="O96" s="23"/>
    </row>
    <row r="97" spans="1:16" s="15" customFormat="1" x14ac:dyDescent="0.25">
      <c r="B97" s="20"/>
      <c r="C97" s="8"/>
      <c r="D97" s="23"/>
      <c r="E97" s="250"/>
      <c r="G97" s="19"/>
      <c r="H97" s="7"/>
      <c r="I97" s="23"/>
      <c r="J97" s="23"/>
      <c r="K97" s="23"/>
      <c r="L97" s="23"/>
      <c r="M97" s="23"/>
      <c r="N97" s="23"/>
      <c r="O97" s="23"/>
    </row>
    <row r="98" spans="1:16" s="15" customFormat="1" ht="12.75" x14ac:dyDescent="0.2">
      <c r="A98" s="6"/>
      <c r="B98" s="20"/>
      <c r="C98" s="20"/>
      <c r="E98" s="20"/>
      <c r="G98" s="19"/>
      <c r="H98" s="4"/>
      <c r="I98" s="19"/>
      <c r="J98" s="19"/>
      <c r="K98" s="19"/>
      <c r="L98" s="19"/>
      <c r="M98" s="19"/>
      <c r="N98" s="19"/>
      <c r="O98" s="19"/>
    </row>
    <row r="99" spans="1:16" s="15" customFormat="1" ht="12.75" x14ac:dyDescent="0.2">
      <c r="B99" s="20"/>
      <c r="C99" s="20"/>
      <c r="D99" s="20"/>
      <c r="E99" s="20"/>
      <c r="G99" s="19"/>
      <c r="H99" s="19"/>
      <c r="I99" s="19"/>
      <c r="J99" s="19"/>
      <c r="K99" s="19"/>
      <c r="L99" s="19"/>
      <c r="M99" s="19"/>
      <c r="N99" s="19"/>
      <c r="O99" s="19"/>
    </row>
    <row r="100" spans="1:16" s="15" customFormat="1" ht="12.75" x14ac:dyDescent="0.2">
      <c r="B100" s="20"/>
      <c r="C100" s="20"/>
      <c r="D100" s="20"/>
      <c r="E100" s="20"/>
      <c r="G100" s="19"/>
      <c r="H100" s="19"/>
      <c r="I100" s="19"/>
      <c r="J100" s="19"/>
      <c r="K100" s="19"/>
      <c r="L100" s="19"/>
      <c r="M100" s="19"/>
      <c r="N100" s="19"/>
      <c r="O100" s="19"/>
    </row>
    <row r="101" spans="1:16" s="15" customFormat="1" ht="12.75" x14ac:dyDescent="0.2">
      <c r="A101" s="6"/>
      <c r="C101" s="20"/>
      <c r="D101" s="20"/>
      <c r="E101" s="20"/>
      <c r="G101" s="20"/>
      <c r="H101" s="20"/>
      <c r="I101" s="20"/>
      <c r="J101" s="20"/>
      <c r="K101" s="20"/>
      <c r="L101" s="20"/>
      <c r="M101" s="20"/>
      <c r="N101" s="20"/>
      <c r="O101" s="20"/>
    </row>
    <row r="102" spans="1:16" x14ac:dyDescent="0.25">
      <c r="A102" s="6"/>
      <c r="F102" s="17"/>
      <c r="G102" s="7"/>
      <c r="H102" s="7"/>
      <c r="I102" s="7"/>
      <c r="J102" s="7"/>
      <c r="K102" s="7"/>
      <c r="L102" s="7"/>
      <c r="M102" s="7"/>
      <c r="N102" s="7"/>
      <c r="O102" s="7"/>
      <c r="P102" s="17"/>
    </row>
    <row r="103" spans="1:16" hidden="1" x14ac:dyDescent="0.25">
      <c r="A103" s="6"/>
      <c r="E103" s="6"/>
      <c r="G103" s="7"/>
      <c r="H103" s="7"/>
      <c r="I103" s="7"/>
      <c r="J103" s="7"/>
      <c r="K103" s="7"/>
      <c r="L103" s="7"/>
      <c r="M103" s="7"/>
      <c r="N103" s="7"/>
      <c r="O103" s="7"/>
    </row>
    <row r="104" spans="1:16" hidden="1" x14ac:dyDescent="0.25">
      <c r="A104" s="6"/>
      <c r="G104" s="7"/>
      <c r="H104" s="7"/>
      <c r="I104" s="7"/>
      <c r="J104" s="7"/>
      <c r="K104" s="7"/>
      <c r="L104" s="7"/>
      <c r="M104" s="7"/>
      <c r="N104" s="7"/>
      <c r="O104" s="7"/>
      <c r="P104" s="7"/>
    </row>
    <row r="105" spans="1:16" hidden="1" x14ac:dyDescent="0.25">
      <c r="A105" s="6"/>
      <c r="G105" s="7"/>
      <c r="H105" s="7"/>
      <c r="I105" s="7"/>
      <c r="J105" s="7"/>
      <c r="K105" s="7"/>
      <c r="L105" s="7"/>
      <c r="M105" s="7"/>
      <c r="N105" s="7"/>
      <c r="O105" s="7"/>
      <c r="P105" s="7"/>
    </row>
    <row r="106" spans="1:16" hidden="1" x14ac:dyDescent="0.25">
      <c r="A106" s="6"/>
      <c r="G106" s="7"/>
      <c r="H106" s="7"/>
      <c r="I106" s="7"/>
      <c r="J106" s="7"/>
      <c r="K106" s="7"/>
      <c r="L106" s="7"/>
      <c r="M106" s="7"/>
      <c r="N106" s="7"/>
      <c r="O106" s="7"/>
      <c r="P106" s="7"/>
    </row>
    <row r="107" spans="1:16" hidden="1" x14ac:dyDescent="0.25">
      <c r="A107" s="6"/>
      <c r="B107" s="25"/>
      <c r="G107" s="7"/>
      <c r="H107" s="7"/>
      <c r="I107" s="7"/>
      <c r="J107" s="7"/>
      <c r="K107" s="7"/>
      <c r="L107" s="7"/>
      <c r="M107" s="7"/>
      <c r="N107" s="7"/>
      <c r="O107" s="7"/>
      <c r="P107" s="7"/>
    </row>
    <row r="108" spans="1:16" x14ac:dyDescent="0.25">
      <c r="A108" s="6"/>
      <c r="B108" s="28"/>
      <c r="C108" s="252"/>
      <c r="D108" s="253"/>
      <c r="G108" s="7"/>
      <c r="H108" s="7"/>
      <c r="I108" s="7"/>
      <c r="J108" s="7"/>
      <c r="K108" s="7"/>
      <c r="L108" s="7"/>
      <c r="M108" s="7"/>
      <c r="N108" s="7"/>
      <c r="O108" s="7"/>
      <c r="P108" s="7"/>
    </row>
    <row r="109" spans="1:16" x14ac:dyDescent="0.25">
      <c r="A109" s="6"/>
      <c r="C109" s="252"/>
      <c r="D109" s="253"/>
      <c r="G109" s="7"/>
      <c r="H109" s="7"/>
      <c r="I109" s="7"/>
      <c r="J109" s="7"/>
      <c r="K109" s="7"/>
      <c r="L109" s="7"/>
      <c r="M109" s="7"/>
      <c r="N109" s="7"/>
      <c r="O109" s="7"/>
      <c r="P109" s="7"/>
    </row>
    <row r="110" spans="1:16" x14ac:dyDescent="0.25">
      <c r="A110" s="27"/>
      <c r="G110" s="7"/>
      <c r="H110" s="7"/>
      <c r="I110" s="7"/>
      <c r="J110" s="7"/>
      <c r="K110" s="7"/>
      <c r="L110" s="7"/>
      <c r="M110" s="7"/>
      <c r="N110" s="7"/>
      <c r="O110" s="7"/>
      <c r="P110" s="7"/>
    </row>
    <row r="111" spans="1:16" s="15" customFormat="1" ht="12.75" x14ac:dyDescent="0.2">
      <c r="G111" s="19"/>
      <c r="H111" s="19"/>
      <c r="I111" s="19"/>
      <c r="J111" s="19"/>
      <c r="K111" s="19"/>
      <c r="L111" s="19"/>
      <c r="M111" s="19"/>
      <c r="N111" s="19"/>
      <c r="O111" s="19"/>
    </row>
    <row r="112" spans="1:16" s="15" customFormat="1" ht="12.75" x14ac:dyDescent="0.2">
      <c r="G112" s="19"/>
      <c r="H112" s="19"/>
      <c r="I112" s="19"/>
      <c r="J112" s="19"/>
      <c r="K112" s="19"/>
      <c r="L112" s="19"/>
      <c r="M112" s="19"/>
      <c r="N112" s="19"/>
      <c r="O112" s="19"/>
    </row>
    <row r="113" spans="1:19" s="15" customFormat="1" ht="12.75" x14ac:dyDescent="0.2">
      <c r="G113" s="19"/>
      <c r="H113" s="19"/>
      <c r="I113" s="19"/>
      <c r="J113" s="19"/>
      <c r="K113" s="19"/>
      <c r="L113" s="19"/>
      <c r="M113" s="19"/>
      <c r="N113" s="19"/>
      <c r="O113" s="19"/>
    </row>
    <row r="114" spans="1:19" s="15" customFormat="1" ht="12.75" x14ac:dyDescent="0.2">
      <c r="A114" s="6"/>
      <c r="G114" s="19"/>
      <c r="H114" s="19"/>
      <c r="I114" s="19"/>
      <c r="J114" s="19"/>
      <c r="K114" s="19"/>
      <c r="L114" s="19"/>
      <c r="M114" s="19"/>
      <c r="N114" s="19"/>
      <c r="O114" s="19"/>
    </row>
    <row r="115" spans="1:19" x14ac:dyDescent="0.25">
      <c r="A115" s="6"/>
      <c r="E115" s="7"/>
      <c r="F115" s="17"/>
      <c r="G115" s="7"/>
      <c r="H115" s="7"/>
      <c r="I115" s="7"/>
      <c r="J115" s="7"/>
      <c r="K115" s="7"/>
      <c r="L115" s="7"/>
      <c r="M115" s="7"/>
      <c r="N115" s="7"/>
      <c r="O115" s="7"/>
    </row>
    <row r="116" spans="1:19" x14ac:dyDescent="0.25">
      <c r="A116" s="6"/>
      <c r="F116" s="17"/>
      <c r="G116" s="7"/>
      <c r="H116" s="7"/>
      <c r="I116" s="7"/>
      <c r="J116" s="7"/>
      <c r="K116" s="7"/>
      <c r="L116" s="7"/>
      <c r="M116" s="7"/>
      <c r="N116" s="7"/>
      <c r="O116" s="7"/>
    </row>
    <row r="117" spans="1:19" x14ac:dyDescent="0.25">
      <c r="A117" s="15"/>
      <c r="F117" s="7"/>
      <c r="G117" s="7"/>
      <c r="H117" s="7"/>
      <c r="I117" s="7"/>
      <c r="J117" s="7"/>
      <c r="K117" s="7"/>
      <c r="L117" s="7"/>
      <c r="M117" s="7"/>
      <c r="N117" s="7"/>
      <c r="O117" s="7"/>
    </row>
    <row r="118" spans="1:19" s="15" customFormat="1" x14ac:dyDescent="0.25">
      <c r="A118" s="3"/>
      <c r="G118" s="19"/>
      <c r="H118" s="19"/>
      <c r="I118" s="19"/>
      <c r="J118" s="19"/>
      <c r="K118" s="19"/>
      <c r="L118" s="19"/>
      <c r="M118" s="19"/>
      <c r="N118" s="19"/>
      <c r="O118" s="19"/>
    </row>
    <row r="119" spans="1:19" x14ac:dyDescent="0.25">
      <c r="A119" s="6"/>
      <c r="G119" s="7"/>
      <c r="H119" s="7"/>
      <c r="I119" s="7"/>
      <c r="J119" s="7"/>
      <c r="K119" s="7"/>
      <c r="L119" s="7"/>
      <c r="M119" s="7"/>
      <c r="N119" s="7"/>
      <c r="O119" s="7"/>
    </row>
    <row r="120" spans="1:19" x14ac:dyDescent="0.25">
      <c r="G120" s="7"/>
      <c r="H120" s="7"/>
      <c r="I120" s="7"/>
      <c r="J120" s="7"/>
      <c r="K120" s="7"/>
      <c r="L120" s="7"/>
      <c r="M120" s="7"/>
      <c r="N120" s="7"/>
      <c r="O120" s="7"/>
    </row>
    <row r="121" spans="1:19" x14ac:dyDescent="0.25">
      <c r="E121" s="246"/>
      <c r="G121" s="7"/>
      <c r="H121" s="7"/>
      <c r="I121" s="7"/>
      <c r="J121" s="7"/>
      <c r="K121" s="7"/>
      <c r="L121" s="7"/>
      <c r="M121" s="7"/>
      <c r="N121" s="7"/>
      <c r="O121" s="7"/>
    </row>
    <row r="122" spans="1:19" x14ac:dyDescent="0.25">
      <c r="A122" s="15"/>
      <c r="C122" s="217"/>
      <c r="D122" s="18"/>
      <c r="G122" s="7"/>
      <c r="H122" s="7"/>
      <c r="I122" s="7"/>
      <c r="J122" s="7"/>
      <c r="K122" s="7"/>
      <c r="L122" s="7"/>
      <c r="M122" s="7"/>
      <c r="N122" s="7"/>
      <c r="O122" s="7"/>
    </row>
    <row r="123" spans="1:19" s="15" customFormat="1" ht="12.75" x14ac:dyDescent="0.2">
      <c r="G123" s="19"/>
      <c r="H123" s="19"/>
      <c r="I123" s="19"/>
      <c r="J123" s="19"/>
      <c r="K123" s="19"/>
      <c r="L123" s="19"/>
      <c r="M123" s="19"/>
      <c r="N123" s="19"/>
      <c r="O123" s="19"/>
    </row>
    <row r="124" spans="1:19" s="15" customFormat="1" ht="12.75" x14ac:dyDescent="0.2">
      <c r="G124" s="19"/>
      <c r="H124" s="19"/>
      <c r="I124" s="19"/>
      <c r="J124" s="19"/>
      <c r="K124" s="19"/>
      <c r="L124" s="19"/>
      <c r="M124" s="19"/>
      <c r="N124" s="19"/>
      <c r="O124" s="19"/>
    </row>
    <row r="125" spans="1:19" s="15" customFormat="1" x14ac:dyDescent="0.25">
      <c r="A125" s="3"/>
      <c r="G125" s="19"/>
      <c r="H125" s="19"/>
      <c r="I125" s="19"/>
      <c r="J125" s="19"/>
      <c r="K125" s="19"/>
      <c r="L125" s="19"/>
      <c r="M125" s="19"/>
      <c r="N125" s="19"/>
      <c r="O125" s="19"/>
      <c r="P125" s="20"/>
      <c r="Q125" s="20"/>
      <c r="R125" s="20"/>
      <c r="S125" s="20"/>
    </row>
    <row r="126" spans="1:19" ht="15.75" x14ac:dyDescent="0.25">
      <c r="A126" s="29"/>
      <c r="B126" s="30"/>
      <c r="G126" s="7"/>
      <c r="H126" s="7"/>
      <c r="I126" s="7"/>
      <c r="J126" s="7"/>
      <c r="K126" s="7"/>
      <c r="L126" s="7"/>
      <c r="M126" s="7"/>
      <c r="N126" s="7"/>
      <c r="O126" s="7"/>
    </row>
    <row r="127" spans="1:19" ht="24.95" customHeight="1" x14ac:dyDescent="0.25">
      <c r="C127" s="30"/>
      <c r="D127" s="254"/>
      <c r="E127" s="255"/>
      <c r="F127" s="256"/>
      <c r="G127" s="31"/>
      <c r="H127" s="32"/>
      <c r="I127" s="32"/>
      <c r="J127" s="32"/>
      <c r="K127" s="32"/>
      <c r="L127" s="32"/>
      <c r="M127" s="32"/>
      <c r="N127" s="32"/>
      <c r="O127" s="32"/>
    </row>
    <row r="129" spans="1:15" x14ac:dyDescent="0.25">
      <c r="A129" s="15"/>
    </row>
    <row r="130" spans="1:15" x14ac:dyDescent="0.25">
      <c r="G130" s="19"/>
      <c r="H130" s="19"/>
      <c r="I130" s="19"/>
      <c r="J130" s="19"/>
      <c r="K130" s="19"/>
      <c r="L130" s="19"/>
      <c r="M130" s="19"/>
      <c r="N130" s="19"/>
      <c r="O130" s="19"/>
    </row>
    <row r="131" spans="1:15" ht="15.75" x14ac:dyDescent="0.25">
      <c r="A131" s="29"/>
      <c r="B131" s="29"/>
    </row>
    <row r="132" spans="1:15" ht="24.75" customHeight="1" x14ac:dyDescent="0.25">
      <c r="C132" s="29"/>
      <c r="D132" s="29"/>
      <c r="E132" s="257"/>
      <c r="H132" s="33"/>
    </row>
    <row r="134" spans="1:15" x14ac:dyDescent="0.25">
      <c r="A134" s="15"/>
    </row>
    <row r="135" spans="1:15" x14ac:dyDescent="0.25">
      <c r="H135" s="34"/>
      <c r="I135" s="34"/>
      <c r="J135" s="34"/>
      <c r="K135" s="34"/>
      <c r="L135" s="34"/>
      <c r="M135" s="34"/>
      <c r="N135" s="34"/>
      <c r="O135" s="34"/>
    </row>
    <row r="136" spans="1:15" ht="15.75" x14ac:dyDescent="0.25">
      <c r="A136" s="29"/>
    </row>
    <row r="137" spans="1:15" ht="24.75" customHeight="1" x14ac:dyDescent="0.25">
      <c r="E137" s="258"/>
    </row>
    <row r="139" spans="1:15" x14ac:dyDescent="0.25">
      <c r="A139" s="15"/>
    </row>
    <row r="140" spans="1:15" x14ac:dyDescent="0.25">
      <c r="A140" s="6"/>
      <c r="B140" s="6"/>
    </row>
    <row r="141" spans="1:15" x14ac:dyDescent="0.25">
      <c r="B141" s="3"/>
      <c r="C141" s="6"/>
      <c r="D141" s="6"/>
      <c r="E141" s="6"/>
    </row>
    <row r="142" spans="1:15" x14ac:dyDescent="0.25">
      <c r="B142" s="3"/>
      <c r="C142" s="3"/>
    </row>
    <row r="143" spans="1:15" x14ac:dyDescent="0.25">
      <c r="B143" s="3"/>
      <c r="C143" s="3"/>
    </row>
    <row r="144" spans="1:15" x14ac:dyDescent="0.25">
      <c r="B144" s="3"/>
      <c r="C144" s="3"/>
    </row>
    <row r="145" spans="2:3" x14ac:dyDescent="0.25">
      <c r="B145" s="3"/>
      <c r="C145" s="3"/>
    </row>
    <row r="146" spans="2:3" x14ac:dyDescent="0.25">
      <c r="B146" s="3"/>
      <c r="C146" s="3"/>
    </row>
    <row r="147" spans="2:3" x14ac:dyDescent="0.25">
      <c r="C147" s="3"/>
    </row>
  </sheetData>
  <sheetProtection algorithmName="SHA-512" hashValue="KrYgSKF26cvT+k88zauHguD8oD2ZnMugXBNKnfUtV5sD6DfXPzZbfmY2qqAr1N7xh71ROrPJXsVJzGK7xpAaVA==" saltValue="ruyc5XIDlrM/msOwFLAwJg==" spinCount="100000" sheet="1" objects="1" scenarios="1"/>
  <mergeCells count="17">
    <mergeCell ref="B8:E8"/>
    <mergeCell ref="B4:E4"/>
    <mergeCell ref="B6:E6"/>
    <mergeCell ref="B12:C12"/>
    <mergeCell ref="E15:E18"/>
    <mergeCell ref="B11:C11"/>
    <mergeCell ref="B13:C13"/>
    <mergeCell ref="A35:E35"/>
    <mergeCell ref="B14:C14"/>
    <mergeCell ref="B16:C16"/>
    <mergeCell ref="B25:C25"/>
    <mergeCell ref="B22:C22"/>
    <mergeCell ref="B15:C15"/>
    <mergeCell ref="B21:C21"/>
    <mergeCell ref="B24:C24"/>
    <mergeCell ref="B29:C29"/>
    <mergeCell ref="A32:E32"/>
  </mergeCells>
  <conditionalFormatting sqref="A35:E35">
    <cfRule type="expression" dxfId="178" priority="4">
      <formula>#REF!="Niet van toepassing"</formula>
    </cfRule>
  </conditionalFormatting>
  <conditionalFormatting sqref="B13:C14">
    <cfRule type="expression" dxfId="177" priority="393" stopIfTrue="1">
      <formula>$E$17="Productie elektriciteit is niet van toepassing!"</formula>
    </cfRule>
  </conditionalFormatting>
  <conditionalFormatting sqref="B15:C15">
    <cfRule type="expression" dxfId="176" priority="5" stopIfTrue="1">
      <formula>$A$15="Niet van toepassing"</formula>
    </cfRule>
    <cfRule type="expression" dxfId="175" priority="7" stopIfTrue="1">
      <formula>$A$15=""</formula>
    </cfRule>
  </conditionalFormatting>
  <dataValidations disablePrompts="1" count="3">
    <dataValidation type="whole" allowBlank="1" showInputMessage="1" showErrorMessage="1" error="U moet hier 1 of 2 invullen!" sqref="E4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E65584 JA65584 SW65584 ACS65584 AMO65584 AWK65584 BGG65584 BQC65584 BZY65584 CJU65584 CTQ65584 DDM65584 DNI65584 DXE65584 EHA65584 EQW65584 FAS65584 FKO65584 FUK65584 GEG65584 GOC65584 GXY65584 HHU65584 HRQ65584 IBM65584 ILI65584 IVE65584 JFA65584 JOW65584 JYS65584 KIO65584 KSK65584 LCG65584 LMC65584 LVY65584 MFU65584 MPQ65584 MZM65584 NJI65584 NTE65584 ODA65584 OMW65584 OWS65584 PGO65584 PQK65584 QAG65584 QKC65584 QTY65584 RDU65584 RNQ65584 RXM65584 SHI65584 SRE65584 TBA65584 TKW65584 TUS65584 UEO65584 UOK65584 UYG65584 VIC65584 VRY65584 WBU65584 WLQ65584 WVM65584 E131120 JA131120 SW131120 ACS131120 AMO131120 AWK131120 BGG131120 BQC131120 BZY131120 CJU131120 CTQ131120 DDM131120 DNI131120 DXE131120 EHA131120 EQW131120 FAS131120 FKO131120 FUK131120 GEG131120 GOC131120 GXY131120 HHU131120 HRQ131120 IBM131120 ILI131120 IVE131120 JFA131120 JOW131120 JYS131120 KIO131120 KSK131120 LCG131120 LMC131120 LVY131120 MFU131120 MPQ131120 MZM131120 NJI131120 NTE131120 ODA131120 OMW131120 OWS131120 PGO131120 PQK131120 QAG131120 QKC131120 QTY131120 RDU131120 RNQ131120 RXM131120 SHI131120 SRE131120 TBA131120 TKW131120 TUS131120 UEO131120 UOK131120 UYG131120 VIC131120 VRY131120 WBU131120 WLQ131120 WVM131120 E196656 JA196656 SW196656 ACS196656 AMO196656 AWK196656 BGG196656 BQC196656 BZY196656 CJU196656 CTQ196656 DDM196656 DNI196656 DXE196656 EHA196656 EQW196656 FAS196656 FKO196656 FUK196656 GEG196656 GOC196656 GXY196656 HHU196656 HRQ196656 IBM196656 ILI196656 IVE196656 JFA196656 JOW196656 JYS196656 KIO196656 KSK196656 LCG196656 LMC196656 LVY196656 MFU196656 MPQ196656 MZM196656 NJI196656 NTE196656 ODA196656 OMW196656 OWS196656 PGO196656 PQK196656 QAG196656 QKC196656 QTY196656 RDU196656 RNQ196656 RXM196656 SHI196656 SRE196656 TBA196656 TKW196656 TUS196656 UEO196656 UOK196656 UYG196656 VIC196656 VRY196656 WBU196656 WLQ196656 WVM196656 E262192 JA262192 SW262192 ACS262192 AMO262192 AWK262192 BGG262192 BQC262192 BZY262192 CJU262192 CTQ262192 DDM262192 DNI262192 DXE262192 EHA262192 EQW262192 FAS262192 FKO262192 FUK262192 GEG262192 GOC262192 GXY262192 HHU262192 HRQ262192 IBM262192 ILI262192 IVE262192 JFA262192 JOW262192 JYS262192 KIO262192 KSK262192 LCG262192 LMC262192 LVY262192 MFU262192 MPQ262192 MZM262192 NJI262192 NTE262192 ODA262192 OMW262192 OWS262192 PGO262192 PQK262192 QAG262192 QKC262192 QTY262192 RDU262192 RNQ262192 RXM262192 SHI262192 SRE262192 TBA262192 TKW262192 TUS262192 UEO262192 UOK262192 UYG262192 VIC262192 VRY262192 WBU262192 WLQ262192 WVM262192 E327728 JA327728 SW327728 ACS327728 AMO327728 AWK327728 BGG327728 BQC327728 BZY327728 CJU327728 CTQ327728 DDM327728 DNI327728 DXE327728 EHA327728 EQW327728 FAS327728 FKO327728 FUK327728 GEG327728 GOC327728 GXY327728 HHU327728 HRQ327728 IBM327728 ILI327728 IVE327728 JFA327728 JOW327728 JYS327728 KIO327728 KSK327728 LCG327728 LMC327728 LVY327728 MFU327728 MPQ327728 MZM327728 NJI327728 NTE327728 ODA327728 OMW327728 OWS327728 PGO327728 PQK327728 QAG327728 QKC327728 QTY327728 RDU327728 RNQ327728 RXM327728 SHI327728 SRE327728 TBA327728 TKW327728 TUS327728 UEO327728 UOK327728 UYG327728 VIC327728 VRY327728 WBU327728 WLQ327728 WVM327728 E393264 JA393264 SW393264 ACS393264 AMO393264 AWK393264 BGG393264 BQC393264 BZY393264 CJU393264 CTQ393264 DDM393264 DNI393264 DXE393264 EHA393264 EQW393264 FAS393264 FKO393264 FUK393264 GEG393264 GOC393264 GXY393264 HHU393264 HRQ393264 IBM393264 ILI393264 IVE393264 JFA393264 JOW393264 JYS393264 KIO393264 KSK393264 LCG393264 LMC393264 LVY393264 MFU393264 MPQ393264 MZM393264 NJI393264 NTE393264 ODA393264 OMW393264 OWS393264 PGO393264 PQK393264 QAG393264 QKC393264 QTY393264 RDU393264 RNQ393264 RXM393264 SHI393264 SRE393264 TBA393264 TKW393264 TUS393264 UEO393264 UOK393264 UYG393264 VIC393264 VRY393264 WBU393264 WLQ393264 WVM393264 E458800 JA458800 SW458800 ACS458800 AMO458800 AWK458800 BGG458800 BQC458800 BZY458800 CJU458800 CTQ458800 DDM458800 DNI458800 DXE458800 EHA458800 EQW458800 FAS458800 FKO458800 FUK458800 GEG458800 GOC458800 GXY458800 HHU458800 HRQ458800 IBM458800 ILI458800 IVE458800 JFA458800 JOW458800 JYS458800 KIO458800 KSK458800 LCG458800 LMC458800 LVY458800 MFU458800 MPQ458800 MZM458800 NJI458800 NTE458800 ODA458800 OMW458800 OWS458800 PGO458800 PQK458800 QAG458800 QKC458800 QTY458800 RDU458800 RNQ458800 RXM458800 SHI458800 SRE458800 TBA458800 TKW458800 TUS458800 UEO458800 UOK458800 UYG458800 VIC458800 VRY458800 WBU458800 WLQ458800 WVM458800 E524336 JA524336 SW524336 ACS524336 AMO524336 AWK524336 BGG524336 BQC524336 BZY524336 CJU524336 CTQ524336 DDM524336 DNI524336 DXE524336 EHA524336 EQW524336 FAS524336 FKO524336 FUK524336 GEG524336 GOC524336 GXY524336 HHU524336 HRQ524336 IBM524336 ILI524336 IVE524336 JFA524336 JOW524336 JYS524336 KIO524336 KSK524336 LCG524336 LMC524336 LVY524336 MFU524336 MPQ524336 MZM524336 NJI524336 NTE524336 ODA524336 OMW524336 OWS524336 PGO524336 PQK524336 QAG524336 QKC524336 QTY524336 RDU524336 RNQ524336 RXM524336 SHI524336 SRE524336 TBA524336 TKW524336 TUS524336 UEO524336 UOK524336 UYG524336 VIC524336 VRY524336 WBU524336 WLQ524336 WVM524336 E589872 JA589872 SW589872 ACS589872 AMO589872 AWK589872 BGG589872 BQC589872 BZY589872 CJU589872 CTQ589872 DDM589872 DNI589872 DXE589872 EHA589872 EQW589872 FAS589872 FKO589872 FUK589872 GEG589872 GOC589872 GXY589872 HHU589872 HRQ589872 IBM589872 ILI589872 IVE589872 JFA589872 JOW589872 JYS589872 KIO589872 KSK589872 LCG589872 LMC589872 LVY589872 MFU589872 MPQ589872 MZM589872 NJI589872 NTE589872 ODA589872 OMW589872 OWS589872 PGO589872 PQK589872 QAG589872 QKC589872 QTY589872 RDU589872 RNQ589872 RXM589872 SHI589872 SRE589872 TBA589872 TKW589872 TUS589872 UEO589872 UOK589872 UYG589872 VIC589872 VRY589872 WBU589872 WLQ589872 WVM589872 E655408 JA655408 SW655408 ACS655408 AMO655408 AWK655408 BGG655408 BQC655408 BZY655408 CJU655408 CTQ655408 DDM655408 DNI655408 DXE655408 EHA655408 EQW655408 FAS655408 FKO655408 FUK655408 GEG655408 GOC655408 GXY655408 HHU655408 HRQ655408 IBM655408 ILI655408 IVE655408 JFA655408 JOW655408 JYS655408 KIO655408 KSK655408 LCG655408 LMC655408 LVY655408 MFU655408 MPQ655408 MZM655408 NJI655408 NTE655408 ODA655408 OMW655408 OWS655408 PGO655408 PQK655408 QAG655408 QKC655408 QTY655408 RDU655408 RNQ655408 RXM655408 SHI655408 SRE655408 TBA655408 TKW655408 TUS655408 UEO655408 UOK655408 UYG655408 VIC655408 VRY655408 WBU655408 WLQ655408 WVM655408 E720944 JA720944 SW720944 ACS720944 AMO720944 AWK720944 BGG720944 BQC720944 BZY720944 CJU720944 CTQ720944 DDM720944 DNI720944 DXE720944 EHA720944 EQW720944 FAS720944 FKO720944 FUK720944 GEG720944 GOC720944 GXY720944 HHU720944 HRQ720944 IBM720944 ILI720944 IVE720944 JFA720944 JOW720944 JYS720944 KIO720944 KSK720944 LCG720944 LMC720944 LVY720944 MFU720944 MPQ720944 MZM720944 NJI720944 NTE720944 ODA720944 OMW720944 OWS720944 PGO720944 PQK720944 QAG720944 QKC720944 QTY720944 RDU720944 RNQ720944 RXM720944 SHI720944 SRE720944 TBA720944 TKW720944 TUS720944 UEO720944 UOK720944 UYG720944 VIC720944 VRY720944 WBU720944 WLQ720944 WVM720944 E786480 JA786480 SW786480 ACS786480 AMO786480 AWK786480 BGG786480 BQC786480 BZY786480 CJU786480 CTQ786480 DDM786480 DNI786480 DXE786480 EHA786480 EQW786480 FAS786480 FKO786480 FUK786480 GEG786480 GOC786480 GXY786480 HHU786480 HRQ786480 IBM786480 ILI786480 IVE786480 JFA786480 JOW786480 JYS786480 KIO786480 KSK786480 LCG786480 LMC786480 LVY786480 MFU786480 MPQ786480 MZM786480 NJI786480 NTE786480 ODA786480 OMW786480 OWS786480 PGO786480 PQK786480 QAG786480 QKC786480 QTY786480 RDU786480 RNQ786480 RXM786480 SHI786480 SRE786480 TBA786480 TKW786480 TUS786480 UEO786480 UOK786480 UYG786480 VIC786480 VRY786480 WBU786480 WLQ786480 WVM786480 E852016 JA852016 SW852016 ACS852016 AMO852016 AWK852016 BGG852016 BQC852016 BZY852016 CJU852016 CTQ852016 DDM852016 DNI852016 DXE852016 EHA852016 EQW852016 FAS852016 FKO852016 FUK852016 GEG852016 GOC852016 GXY852016 HHU852016 HRQ852016 IBM852016 ILI852016 IVE852016 JFA852016 JOW852016 JYS852016 KIO852016 KSK852016 LCG852016 LMC852016 LVY852016 MFU852016 MPQ852016 MZM852016 NJI852016 NTE852016 ODA852016 OMW852016 OWS852016 PGO852016 PQK852016 QAG852016 QKC852016 QTY852016 RDU852016 RNQ852016 RXM852016 SHI852016 SRE852016 TBA852016 TKW852016 TUS852016 UEO852016 UOK852016 UYG852016 VIC852016 VRY852016 WBU852016 WLQ852016 WVM852016 E917552 JA917552 SW917552 ACS917552 AMO917552 AWK917552 BGG917552 BQC917552 BZY917552 CJU917552 CTQ917552 DDM917552 DNI917552 DXE917552 EHA917552 EQW917552 FAS917552 FKO917552 FUK917552 GEG917552 GOC917552 GXY917552 HHU917552 HRQ917552 IBM917552 ILI917552 IVE917552 JFA917552 JOW917552 JYS917552 KIO917552 KSK917552 LCG917552 LMC917552 LVY917552 MFU917552 MPQ917552 MZM917552 NJI917552 NTE917552 ODA917552 OMW917552 OWS917552 PGO917552 PQK917552 QAG917552 QKC917552 QTY917552 RDU917552 RNQ917552 RXM917552 SHI917552 SRE917552 TBA917552 TKW917552 TUS917552 UEO917552 UOK917552 UYG917552 VIC917552 VRY917552 WBU917552 WLQ917552 WVM917552 E983088 JA983088 SW983088 ACS983088 AMO983088 AWK983088 BGG983088 BQC983088 BZY983088 CJU983088 CTQ983088 DDM983088 DNI983088 DXE983088 EHA983088 EQW983088 FAS983088 FKO983088 FUK983088 GEG983088 GOC983088 GXY983088 HHU983088 HRQ983088 IBM983088 ILI983088 IVE983088 JFA983088 JOW983088 JYS983088 KIO983088 KSK983088 LCG983088 LMC983088 LVY983088 MFU983088 MPQ983088 MZM983088 NJI983088 NTE983088 ODA983088 OMW983088 OWS983088 PGO983088 PQK983088 QAG983088 QKC983088 QTY983088 RDU983088 RNQ983088 RXM983088 SHI983088 SRE983088 TBA983088 TKW983088 TUS983088 UEO983088 UOK983088 UYG983088 VIC983088 VRY983088 WBU983088 WLQ983088 WVM983088" xr:uid="{40E5E316-F880-4BA6-97A6-96DF4D8C2F2E}">
      <formula1>1</formula1>
      <formula2>2</formula2>
    </dataValidation>
    <dataValidation type="whole" allowBlank="1" showInputMessage="1" showErrorMessage="1" error="U moet hier een geheel aantal jaren met een maximum van 8 jaar invullen." sqref="E47 JA47 SW47 ACS47 AMO47 AWK47 BGG47 BQC47 BZY47 CJU47 CTQ47 DDM47 DNI47 DXE47 EHA47 EQW47 FAS47 FKO47 FUK47 GEG47 GOC47 GXY47 HHU47 HRQ47 IBM47 ILI47 IVE47 JFA47 JOW47 JYS47 KIO47 KSK47 LCG47 LMC47 LVY47 MFU47 MPQ47 MZM47 NJI47 NTE47 ODA47 OMW47 OWS47 PGO47 PQK47 QAG47 QKC47 QTY47 RDU47 RNQ47 RXM47 SHI47 SRE47 TBA47 TKW47 TUS47 UEO47 UOK47 UYG47 VIC47 VRY47 WBU47 WLQ47 WVM47 E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E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E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E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E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E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E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E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E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E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E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E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E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E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E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xr:uid="{3D4B2A6B-E492-432A-A2CE-58FD1E3662B8}">
      <formula1>0</formula1>
      <formula2>8</formula2>
    </dataValidation>
    <dataValidation type="decimal" allowBlank="1" showInputMessage="1" showErrorMessage="1" error="U kunt maximaal een percentage van 3,0% invullen. Klik op &quot;Annuleren&quot; en vul een ander percentage in. " sqref="E61 JA61 SW61 ACS61 AMO61 AWK61 BGG61 BQC61 BZY61 CJU61 CTQ61 DDM61 DNI61 DXE61 EHA61 EQW61 FAS61 FKO61 FUK61 GEG61 GOC61 GXY61 HHU61 HRQ61 IBM61 ILI61 IVE61 JFA61 JOW61 JYS61 KIO61 KSK61 LCG61 LMC61 LVY61 MFU61 MPQ61 MZM61 NJI61 NTE61 ODA61 OMW61 OWS61 PGO61 PQK61 QAG61 QKC61 QTY61 RDU61 RNQ61 RXM61 SHI61 SRE61 TBA61 TKW61 TUS61 UEO61 UOK61 UYG61 VIC61 VRY61 WBU61 WLQ61 WVM61 E65597 JA65597 SW65597 ACS65597 AMO65597 AWK65597 BGG65597 BQC65597 BZY65597 CJU65597 CTQ65597 DDM65597 DNI65597 DXE65597 EHA65597 EQW65597 FAS65597 FKO65597 FUK65597 GEG65597 GOC65597 GXY65597 HHU65597 HRQ65597 IBM65597 ILI65597 IVE65597 JFA65597 JOW65597 JYS65597 KIO65597 KSK65597 LCG65597 LMC65597 LVY65597 MFU65597 MPQ65597 MZM65597 NJI65597 NTE65597 ODA65597 OMW65597 OWS65597 PGO65597 PQK65597 QAG65597 QKC65597 QTY65597 RDU65597 RNQ65597 RXM65597 SHI65597 SRE65597 TBA65597 TKW65597 TUS65597 UEO65597 UOK65597 UYG65597 VIC65597 VRY65597 WBU65597 WLQ65597 WVM65597 E131133 JA131133 SW131133 ACS131133 AMO131133 AWK131133 BGG131133 BQC131133 BZY131133 CJU131133 CTQ131133 DDM131133 DNI131133 DXE131133 EHA131133 EQW131133 FAS131133 FKO131133 FUK131133 GEG131133 GOC131133 GXY131133 HHU131133 HRQ131133 IBM131133 ILI131133 IVE131133 JFA131133 JOW131133 JYS131133 KIO131133 KSK131133 LCG131133 LMC131133 LVY131133 MFU131133 MPQ131133 MZM131133 NJI131133 NTE131133 ODA131133 OMW131133 OWS131133 PGO131133 PQK131133 QAG131133 QKC131133 QTY131133 RDU131133 RNQ131133 RXM131133 SHI131133 SRE131133 TBA131133 TKW131133 TUS131133 UEO131133 UOK131133 UYG131133 VIC131133 VRY131133 WBU131133 WLQ131133 WVM131133 E196669 JA196669 SW196669 ACS196669 AMO196669 AWK196669 BGG196669 BQC196669 BZY196669 CJU196669 CTQ196669 DDM196669 DNI196669 DXE196669 EHA196669 EQW196669 FAS196669 FKO196669 FUK196669 GEG196669 GOC196669 GXY196669 HHU196669 HRQ196669 IBM196669 ILI196669 IVE196669 JFA196669 JOW196669 JYS196669 KIO196669 KSK196669 LCG196669 LMC196669 LVY196669 MFU196669 MPQ196669 MZM196669 NJI196669 NTE196669 ODA196669 OMW196669 OWS196669 PGO196669 PQK196669 QAG196669 QKC196669 QTY196669 RDU196669 RNQ196669 RXM196669 SHI196669 SRE196669 TBA196669 TKW196669 TUS196669 UEO196669 UOK196669 UYG196669 VIC196669 VRY196669 WBU196669 WLQ196669 WVM196669 E262205 JA262205 SW262205 ACS262205 AMO262205 AWK262205 BGG262205 BQC262205 BZY262205 CJU262205 CTQ262205 DDM262205 DNI262205 DXE262205 EHA262205 EQW262205 FAS262205 FKO262205 FUK262205 GEG262205 GOC262205 GXY262205 HHU262205 HRQ262205 IBM262205 ILI262205 IVE262205 JFA262205 JOW262205 JYS262205 KIO262205 KSK262205 LCG262205 LMC262205 LVY262205 MFU262205 MPQ262205 MZM262205 NJI262205 NTE262205 ODA262205 OMW262205 OWS262205 PGO262205 PQK262205 QAG262205 QKC262205 QTY262205 RDU262205 RNQ262205 RXM262205 SHI262205 SRE262205 TBA262205 TKW262205 TUS262205 UEO262205 UOK262205 UYG262205 VIC262205 VRY262205 WBU262205 WLQ262205 WVM262205 E327741 JA327741 SW327741 ACS327741 AMO327741 AWK327741 BGG327741 BQC327741 BZY327741 CJU327741 CTQ327741 DDM327741 DNI327741 DXE327741 EHA327741 EQW327741 FAS327741 FKO327741 FUK327741 GEG327741 GOC327741 GXY327741 HHU327741 HRQ327741 IBM327741 ILI327741 IVE327741 JFA327741 JOW327741 JYS327741 KIO327741 KSK327741 LCG327741 LMC327741 LVY327741 MFU327741 MPQ327741 MZM327741 NJI327741 NTE327741 ODA327741 OMW327741 OWS327741 PGO327741 PQK327741 QAG327741 QKC327741 QTY327741 RDU327741 RNQ327741 RXM327741 SHI327741 SRE327741 TBA327741 TKW327741 TUS327741 UEO327741 UOK327741 UYG327741 VIC327741 VRY327741 WBU327741 WLQ327741 WVM327741 E393277 JA393277 SW393277 ACS393277 AMO393277 AWK393277 BGG393277 BQC393277 BZY393277 CJU393277 CTQ393277 DDM393277 DNI393277 DXE393277 EHA393277 EQW393277 FAS393277 FKO393277 FUK393277 GEG393277 GOC393277 GXY393277 HHU393277 HRQ393277 IBM393277 ILI393277 IVE393277 JFA393277 JOW393277 JYS393277 KIO393277 KSK393277 LCG393277 LMC393277 LVY393277 MFU393277 MPQ393277 MZM393277 NJI393277 NTE393277 ODA393277 OMW393277 OWS393277 PGO393277 PQK393277 QAG393277 QKC393277 QTY393277 RDU393277 RNQ393277 RXM393277 SHI393277 SRE393277 TBA393277 TKW393277 TUS393277 UEO393277 UOK393277 UYG393277 VIC393277 VRY393277 WBU393277 WLQ393277 WVM393277 E458813 JA458813 SW458813 ACS458813 AMO458813 AWK458813 BGG458813 BQC458813 BZY458813 CJU458813 CTQ458813 DDM458813 DNI458813 DXE458813 EHA458813 EQW458813 FAS458813 FKO458813 FUK458813 GEG458813 GOC458813 GXY458813 HHU458813 HRQ458813 IBM458813 ILI458813 IVE458813 JFA458813 JOW458813 JYS458813 KIO458813 KSK458813 LCG458813 LMC458813 LVY458813 MFU458813 MPQ458813 MZM458813 NJI458813 NTE458813 ODA458813 OMW458813 OWS458813 PGO458813 PQK458813 QAG458813 QKC458813 QTY458813 RDU458813 RNQ458813 RXM458813 SHI458813 SRE458813 TBA458813 TKW458813 TUS458813 UEO458813 UOK458813 UYG458813 VIC458813 VRY458813 WBU458813 WLQ458813 WVM458813 E524349 JA524349 SW524349 ACS524349 AMO524349 AWK524349 BGG524349 BQC524349 BZY524349 CJU524349 CTQ524349 DDM524349 DNI524349 DXE524349 EHA524349 EQW524349 FAS524349 FKO524349 FUK524349 GEG524349 GOC524349 GXY524349 HHU524349 HRQ524349 IBM524349 ILI524349 IVE524349 JFA524349 JOW524349 JYS524349 KIO524349 KSK524349 LCG524349 LMC524349 LVY524349 MFU524349 MPQ524349 MZM524349 NJI524349 NTE524349 ODA524349 OMW524349 OWS524349 PGO524349 PQK524349 QAG524349 QKC524349 QTY524349 RDU524349 RNQ524349 RXM524349 SHI524349 SRE524349 TBA524349 TKW524349 TUS524349 UEO524349 UOK524349 UYG524349 VIC524349 VRY524349 WBU524349 WLQ524349 WVM524349 E589885 JA589885 SW589885 ACS589885 AMO589885 AWK589885 BGG589885 BQC589885 BZY589885 CJU589885 CTQ589885 DDM589885 DNI589885 DXE589885 EHA589885 EQW589885 FAS589885 FKO589885 FUK589885 GEG589885 GOC589885 GXY589885 HHU589885 HRQ589885 IBM589885 ILI589885 IVE589885 JFA589885 JOW589885 JYS589885 KIO589885 KSK589885 LCG589885 LMC589885 LVY589885 MFU589885 MPQ589885 MZM589885 NJI589885 NTE589885 ODA589885 OMW589885 OWS589885 PGO589885 PQK589885 QAG589885 QKC589885 QTY589885 RDU589885 RNQ589885 RXM589885 SHI589885 SRE589885 TBA589885 TKW589885 TUS589885 UEO589885 UOK589885 UYG589885 VIC589885 VRY589885 WBU589885 WLQ589885 WVM589885 E655421 JA655421 SW655421 ACS655421 AMO655421 AWK655421 BGG655421 BQC655421 BZY655421 CJU655421 CTQ655421 DDM655421 DNI655421 DXE655421 EHA655421 EQW655421 FAS655421 FKO655421 FUK655421 GEG655421 GOC655421 GXY655421 HHU655421 HRQ655421 IBM655421 ILI655421 IVE655421 JFA655421 JOW655421 JYS655421 KIO655421 KSK655421 LCG655421 LMC655421 LVY655421 MFU655421 MPQ655421 MZM655421 NJI655421 NTE655421 ODA655421 OMW655421 OWS655421 PGO655421 PQK655421 QAG655421 QKC655421 QTY655421 RDU655421 RNQ655421 RXM655421 SHI655421 SRE655421 TBA655421 TKW655421 TUS655421 UEO655421 UOK655421 UYG655421 VIC655421 VRY655421 WBU655421 WLQ655421 WVM655421 E720957 JA720957 SW720957 ACS720957 AMO720957 AWK720957 BGG720957 BQC720957 BZY720957 CJU720957 CTQ720957 DDM720957 DNI720957 DXE720957 EHA720957 EQW720957 FAS720957 FKO720957 FUK720957 GEG720957 GOC720957 GXY720957 HHU720957 HRQ720957 IBM720957 ILI720957 IVE720957 JFA720957 JOW720957 JYS720957 KIO720957 KSK720957 LCG720957 LMC720957 LVY720957 MFU720957 MPQ720957 MZM720957 NJI720957 NTE720957 ODA720957 OMW720957 OWS720957 PGO720957 PQK720957 QAG720957 QKC720957 QTY720957 RDU720957 RNQ720957 RXM720957 SHI720957 SRE720957 TBA720957 TKW720957 TUS720957 UEO720957 UOK720957 UYG720957 VIC720957 VRY720957 WBU720957 WLQ720957 WVM720957 E786493 JA786493 SW786493 ACS786493 AMO786493 AWK786493 BGG786493 BQC786493 BZY786493 CJU786493 CTQ786493 DDM786493 DNI786493 DXE786493 EHA786493 EQW786493 FAS786493 FKO786493 FUK786493 GEG786493 GOC786493 GXY786493 HHU786493 HRQ786493 IBM786493 ILI786493 IVE786493 JFA786493 JOW786493 JYS786493 KIO786493 KSK786493 LCG786493 LMC786493 LVY786493 MFU786493 MPQ786493 MZM786493 NJI786493 NTE786493 ODA786493 OMW786493 OWS786493 PGO786493 PQK786493 QAG786493 QKC786493 QTY786493 RDU786493 RNQ786493 RXM786493 SHI786493 SRE786493 TBA786493 TKW786493 TUS786493 UEO786493 UOK786493 UYG786493 VIC786493 VRY786493 WBU786493 WLQ786493 WVM786493 E852029 JA852029 SW852029 ACS852029 AMO852029 AWK852029 BGG852029 BQC852029 BZY852029 CJU852029 CTQ852029 DDM852029 DNI852029 DXE852029 EHA852029 EQW852029 FAS852029 FKO852029 FUK852029 GEG852029 GOC852029 GXY852029 HHU852029 HRQ852029 IBM852029 ILI852029 IVE852029 JFA852029 JOW852029 JYS852029 KIO852029 KSK852029 LCG852029 LMC852029 LVY852029 MFU852029 MPQ852029 MZM852029 NJI852029 NTE852029 ODA852029 OMW852029 OWS852029 PGO852029 PQK852029 QAG852029 QKC852029 QTY852029 RDU852029 RNQ852029 RXM852029 SHI852029 SRE852029 TBA852029 TKW852029 TUS852029 UEO852029 UOK852029 UYG852029 VIC852029 VRY852029 WBU852029 WLQ852029 WVM852029 E917565 JA917565 SW917565 ACS917565 AMO917565 AWK917565 BGG917565 BQC917565 BZY917565 CJU917565 CTQ917565 DDM917565 DNI917565 DXE917565 EHA917565 EQW917565 FAS917565 FKO917565 FUK917565 GEG917565 GOC917565 GXY917565 HHU917565 HRQ917565 IBM917565 ILI917565 IVE917565 JFA917565 JOW917565 JYS917565 KIO917565 KSK917565 LCG917565 LMC917565 LVY917565 MFU917565 MPQ917565 MZM917565 NJI917565 NTE917565 ODA917565 OMW917565 OWS917565 PGO917565 PQK917565 QAG917565 QKC917565 QTY917565 RDU917565 RNQ917565 RXM917565 SHI917565 SRE917565 TBA917565 TKW917565 TUS917565 UEO917565 UOK917565 UYG917565 VIC917565 VRY917565 WBU917565 WLQ917565 WVM917565 E983101 JA983101 SW983101 ACS983101 AMO983101 AWK983101 BGG983101 BQC983101 BZY983101 CJU983101 CTQ983101 DDM983101 DNI983101 DXE983101 EHA983101 EQW983101 FAS983101 FKO983101 FUK983101 GEG983101 GOC983101 GXY983101 HHU983101 HRQ983101 IBM983101 ILI983101 IVE983101 JFA983101 JOW983101 JYS983101 KIO983101 KSK983101 LCG983101 LMC983101 LVY983101 MFU983101 MPQ983101 MZM983101 NJI983101 NTE983101 ODA983101 OMW983101 OWS983101 PGO983101 PQK983101 QAG983101 QKC983101 QTY983101 RDU983101 RNQ983101 RXM983101 SHI983101 SRE983101 TBA983101 TKW983101 TUS983101 UEO983101 UOK983101 UYG983101 VIC983101 VRY983101 WBU983101 WLQ983101 WVM983101 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xr:uid="{8E93D866-E59A-4D9A-A9D9-6E53F33C9D9D}">
      <formula1>0</formula1>
      <formula2>0.03</formula2>
    </dataValidation>
  </dataValidations>
  <pageMargins left="0.7" right="0.7" top="0.75" bottom="0.75" header="0.3" footer="0.3"/>
  <pageSetup paperSize="9" scale="40" orientation="portrait" r:id="rId1"/>
  <ignoredErrors>
    <ignoredError sqref="B15" unlocked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7CC6A-5185-4252-8F15-616C0221E6FB}">
  <dimension ref="A1:AF154"/>
  <sheetViews>
    <sheetView zoomScaleNormal="100" workbookViewId="0">
      <selection activeCell="J69" sqref="J69"/>
    </sheetView>
  </sheetViews>
  <sheetFormatPr defaultColWidth="8.7109375" defaultRowHeight="15" x14ac:dyDescent="0.25"/>
  <cols>
    <col min="1" max="1" width="45.7109375" style="3" customWidth="1"/>
    <col min="2" max="2" width="9.85546875" style="15" customWidth="1"/>
    <col min="3" max="3" width="8.7109375" style="15"/>
    <col min="4" max="4" width="3" style="3" customWidth="1"/>
    <col min="5" max="5" width="18.42578125" style="3" customWidth="1"/>
    <col min="6" max="6" width="0.85546875" style="3" hidden="1" customWidth="1"/>
    <col min="7" max="7" width="3" style="3" customWidth="1"/>
    <col min="8" max="8" width="10.7109375" style="3" customWidth="1"/>
    <col min="9" max="9" width="2.7109375" style="3" customWidth="1"/>
    <col min="10" max="10" width="6.7109375" style="3" customWidth="1"/>
    <col min="11" max="11" width="3" style="3" customWidth="1"/>
    <col min="12" max="12" width="17.7109375" style="3" customWidth="1"/>
    <col min="13" max="13" width="10.5703125" style="3" customWidth="1"/>
    <col min="14" max="14" width="17.28515625" style="3" bestFit="1" customWidth="1"/>
    <col min="15" max="29" width="11.7109375" style="3" customWidth="1"/>
    <col min="30" max="30" width="12.28515625" style="3" customWidth="1"/>
    <col min="31" max="256" width="8.7109375" style="3"/>
    <col min="257" max="257" width="34.5703125" style="3" customWidth="1"/>
    <col min="258" max="258" width="9.85546875" style="3" customWidth="1"/>
    <col min="259" max="259" width="8.7109375" style="3"/>
    <col min="260" max="260" width="3" style="3" customWidth="1"/>
    <col min="261" max="261" width="18.42578125" style="3" customWidth="1"/>
    <col min="262" max="262" width="0" style="3" hidden="1" customWidth="1"/>
    <col min="263" max="263" width="3" style="3" customWidth="1"/>
    <col min="264" max="264" width="10.7109375" style="3" customWidth="1"/>
    <col min="265" max="265" width="2.7109375" style="3" customWidth="1"/>
    <col min="266" max="266" width="6.7109375" style="3" customWidth="1"/>
    <col min="267" max="267" width="3" style="3" customWidth="1"/>
    <col min="268" max="268" width="17.7109375" style="3" customWidth="1"/>
    <col min="269" max="269" width="10.5703125" style="3" customWidth="1"/>
    <col min="270" max="270" width="17.28515625" style="3" bestFit="1" customWidth="1"/>
    <col min="271" max="285" width="11.7109375" style="3" customWidth="1"/>
    <col min="286" max="512" width="8.7109375" style="3"/>
    <col min="513" max="513" width="34.5703125" style="3" customWidth="1"/>
    <col min="514" max="514" width="9.85546875" style="3" customWidth="1"/>
    <col min="515" max="515" width="8.7109375" style="3"/>
    <col min="516" max="516" width="3" style="3" customWidth="1"/>
    <col min="517" max="517" width="18.42578125" style="3" customWidth="1"/>
    <col min="518" max="518" width="0" style="3" hidden="1" customWidth="1"/>
    <col min="519" max="519" width="3" style="3" customWidth="1"/>
    <col min="520" max="520" width="10.7109375" style="3" customWidth="1"/>
    <col min="521" max="521" width="2.7109375" style="3" customWidth="1"/>
    <col min="522" max="522" width="6.7109375" style="3" customWidth="1"/>
    <col min="523" max="523" width="3" style="3" customWidth="1"/>
    <col min="524" max="524" width="17.7109375" style="3" customWidth="1"/>
    <col min="525" max="525" width="10.5703125" style="3" customWidth="1"/>
    <col min="526" max="526" width="17.28515625" style="3" bestFit="1" customWidth="1"/>
    <col min="527" max="541" width="11.7109375" style="3" customWidth="1"/>
    <col min="542" max="768" width="8.7109375" style="3"/>
    <col min="769" max="769" width="34.5703125" style="3" customWidth="1"/>
    <col min="770" max="770" width="9.85546875" style="3" customWidth="1"/>
    <col min="771" max="771" width="8.7109375" style="3"/>
    <col min="772" max="772" width="3" style="3" customWidth="1"/>
    <col min="773" max="773" width="18.42578125" style="3" customWidth="1"/>
    <col min="774" max="774" width="0" style="3" hidden="1" customWidth="1"/>
    <col min="775" max="775" width="3" style="3" customWidth="1"/>
    <col min="776" max="776" width="10.7109375" style="3" customWidth="1"/>
    <col min="777" max="777" width="2.7109375" style="3" customWidth="1"/>
    <col min="778" max="778" width="6.7109375" style="3" customWidth="1"/>
    <col min="779" max="779" width="3" style="3" customWidth="1"/>
    <col min="780" max="780" width="17.7109375" style="3" customWidth="1"/>
    <col min="781" max="781" width="10.5703125" style="3" customWidth="1"/>
    <col min="782" max="782" width="17.28515625" style="3" bestFit="1" customWidth="1"/>
    <col min="783" max="797" width="11.7109375" style="3" customWidth="1"/>
    <col min="798" max="1024" width="8.7109375" style="3"/>
    <col min="1025" max="1025" width="34.5703125" style="3" customWidth="1"/>
    <col min="1026" max="1026" width="9.85546875" style="3" customWidth="1"/>
    <col min="1027" max="1027" width="8.7109375" style="3"/>
    <col min="1028" max="1028" width="3" style="3" customWidth="1"/>
    <col min="1029" max="1029" width="18.42578125" style="3" customWidth="1"/>
    <col min="1030" max="1030" width="0" style="3" hidden="1" customWidth="1"/>
    <col min="1031" max="1031" width="3" style="3" customWidth="1"/>
    <col min="1032" max="1032" width="10.7109375" style="3" customWidth="1"/>
    <col min="1033" max="1033" width="2.7109375" style="3" customWidth="1"/>
    <col min="1034" max="1034" width="6.7109375" style="3" customWidth="1"/>
    <col min="1035" max="1035" width="3" style="3" customWidth="1"/>
    <col min="1036" max="1036" width="17.7109375" style="3" customWidth="1"/>
    <col min="1037" max="1037" width="10.5703125" style="3" customWidth="1"/>
    <col min="1038" max="1038" width="17.28515625" style="3" bestFit="1" customWidth="1"/>
    <col min="1039" max="1053" width="11.7109375" style="3" customWidth="1"/>
    <col min="1054" max="1280" width="8.7109375" style="3"/>
    <col min="1281" max="1281" width="34.5703125" style="3" customWidth="1"/>
    <col min="1282" max="1282" width="9.85546875" style="3" customWidth="1"/>
    <col min="1283" max="1283" width="8.7109375" style="3"/>
    <col min="1284" max="1284" width="3" style="3" customWidth="1"/>
    <col min="1285" max="1285" width="18.42578125" style="3" customWidth="1"/>
    <col min="1286" max="1286" width="0" style="3" hidden="1" customWidth="1"/>
    <col min="1287" max="1287" width="3" style="3" customWidth="1"/>
    <col min="1288" max="1288" width="10.7109375" style="3" customWidth="1"/>
    <col min="1289" max="1289" width="2.7109375" style="3" customWidth="1"/>
    <col min="1290" max="1290" width="6.7109375" style="3" customWidth="1"/>
    <col min="1291" max="1291" width="3" style="3" customWidth="1"/>
    <col min="1292" max="1292" width="17.7109375" style="3" customWidth="1"/>
    <col min="1293" max="1293" width="10.5703125" style="3" customWidth="1"/>
    <col min="1294" max="1294" width="17.28515625" style="3" bestFit="1" customWidth="1"/>
    <col min="1295" max="1309" width="11.7109375" style="3" customWidth="1"/>
    <col min="1310" max="1536" width="8.7109375" style="3"/>
    <col min="1537" max="1537" width="34.5703125" style="3" customWidth="1"/>
    <col min="1538" max="1538" width="9.85546875" style="3" customWidth="1"/>
    <col min="1539" max="1539" width="8.7109375" style="3"/>
    <col min="1540" max="1540" width="3" style="3" customWidth="1"/>
    <col min="1541" max="1541" width="18.42578125" style="3" customWidth="1"/>
    <col min="1542" max="1542" width="0" style="3" hidden="1" customWidth="1"/>
    <col min="1543" max="1543" width="3" style="3" customWidth="1"/>
    <col min="1544" max="1544" width="10.7109375" style="3" customWidth="1"/>
    <col min="1545" max="1545" width="2.7109375" style="3" customWidth="1"/>
    <col min="1546" max="1546" width="6.7109375" style="3" customWidth="1"/>
    <col min="1547" max="1547" width="3" style="3" customWidth="1"/>
    <col min="1548" max="1548" width="17.7109375" style="3" customWidth="1"/>
    <col min="1549" max="1549" width="10.5703125" style="3" customWidth="1"/>
    <col min="1550" max="1550" width="17.28515625" style="3" bestFit="1" customWidth="1"/>
    <col min="1551" max="1565" width="11.7109375" style="3" customWidth="1"/>
    <col min="1566" max="1792" width="8.7109375" style="3"/>
    <col min="1793" max="1793" width="34.5703125" style="3" customWidth="1"/>
    <col min="1794" max="1794" width="9.85546875" style="3" customWidth="1"/>
    <col min="1795" max="1795" width="8.7109375" style="3"/>
    <col min="1796" max="1796" width="3" style="3" customWidth="1"/>
    <col min="1797" max="1797" width="18.42578125" style="3" customWidth="1"/>
    <col min="1798" max="1798" width="0" style="3" hidden="1" customWidth="1"/>
    <col min="1799" max="1799" width="3" style="3" customWidth="1"/>
    <col min="1800" max="1800" width="10.7109375" style="3" customWidth="1"/>
    <col min="1801" max="1801" width="2.7109375" style="3" customWidth="1"/>
    <col min="1802" max="1802" width="6.7109375" style="3" customWidth="1"/>
    <col min="1803" max="1803" width="3" style="3" customWidth="1"/>
    <col min="1804" max="1804" width="17.7109375" style="3" customWidth="1"/>
    <col min="1805" max="1805" width="10.5703125" style="3" customWidth="1"/>
    <col min="1806" max="1806" width="17.28515625" style="3" bestFit="1" customWidth="1"/>
    <col min="1807" max="1821" width="11.7109375" style="3" customWidth="1"/>
    <col min="1822" max="2048" width="8.7109375" style="3"/>
    <col min="2049" max="2049" width="34.5703125" style="3" customWidth="1"/>
    <col min="2050" max="2050" width="9.85546875" style="3" customWidth="1"/>
    <col min="2051" max="2051" width="8.7109375" style="3"/>
    <col min="2052" max="2052" width="3" style="3" customWidth="1"/>
    <col min="2053" max="2053" width="18.42578125" style="3" customWidth="1"/>
    <col min="2054" max="2054" width="0" style="3" hidden="1" customWidth="1"/>
    <col min="2055" max="2055" width="3" style="3" customWidth="1"/>
    <col min="2056" max="2056" width="10.7109375" style="3" customWidth="1"/>
    <col min="2057" max="2057" width="2.7109375" style="3" customWidth="1"/>
    <col min="2058" max="2058" width="6.7109375" style="3" customWidth="1"/>
    <col min="2059" max="2059" width="3" style="3" customWidth="1"/>
    <col min="2060" max="2060" width="17.7109375" style="3" customWidth="1"/>
    <col min="2061" max="2061" width="10.5703125" style="3" customWidth="1"/>
    <col min="2062" max="2062" width="17.28515625" style="3" bestFit="1" customWidth="1"/>
    <col min="2063" max="2077" width="11.7109375" style="3" customWidth="1"/>
    <col min="2078" max="2304" width="8.7109375" style="3"/>
    <col min="2305" max="2305" width="34.5703125" style="3" customWidth="1"/>
    <col min="2306" max="2306" width="9.85546875" style="3" customWidth="1"/>
    <col min="2307" max="2307" width="8.7109375" style="3"/>
    <col min="2308" max="2308" width="3" style="3" customWidth="1"/>
    <col min="2309" max="2309" width="18.42578125" style="3" customWidth="1"/>
    <col min="2310" max="2310" width="0" style="3" hidden="1" customWidth="1"/>
    <col min="2311" max="2311" width="3" style="3" customWidth="1"/>
    <col min="2312" max="2312" width="10.7109375" style="3" customWidth="1"/>
    <col min="2313" max="2313" width="2.7109375" style="3" customWidth="1"/>
    <col min="2314" max="2314" width="6.7109375" style="3" customWidth="1"/>
    <col min="2315" max="2315" width="3" style="3" customWidth="1"/>
    <col min="2316" max="2316" width="17.7109375" style="3" customWidth="1"/>
    <col min="2317" max="2317" width="10.5703125" style="3" customWidth="1"/>
    <col min="2318" max="2318" width="17.28515625" style="3" bestFit="1" customWidth="1"/>
    <col min="2319" max="2333" width="11.7109375" style="3" customWidth="1"/>
    <col min="2334" max="2560" width="8.7109375" style="3"/>
    <col min="2561" max="2561" width="34.5703125" style="3" customWidth="1"/>
    <col min="2562" max="2562" width="9.85546875" style="3" customWidth="1"/>
    <col min="2563" max="2563" width="8.7109375" style="3"/>
    <col min="2564" max="2564" width="3" style="3" customWidth="1"/>
    <col min="2565" max="2565" width="18.42578125" style="3" customWidth="1"/>
    <col min="2566" max="2566" width="0" style="3" hidden="1" customWidth="1"/>
    <col min="2567" max="2567" width="3" style="3" customWidth="1"/>
    <col min="2568" max="2568" width="10.7109375" style="3" customWidth="1"/>
    <col min="2569" max="2569" width="2.7109375" style="3" customWidth="1"/>
    <col min="2570" max="2570" width="6.7109375" style="3" customWidth="1"/>
    <col min="2571" max="2571" width="3" style="3" customWidth="1"/>
    <col min="2572" max="2572" width="17.7109375" style="3" customWidth="1"/>
    <col min="2573" max="2573" width="10.5703125" style="3" customWidth="1"/>
    <col min="2574" max="2574" width="17.28515625" style="3" bestFit="1" customWidth="1"/>
    <col min="2575" max="2589" width="11.7109375" style="3" customWidth="1"/>
    <col min="2590" max="2816" width="8.7109375" style="3"/>
    <col min="2817" max="2817" width="34.5703125" style="3" customWidth="1"/>
    <col min="2818" max="2818" width="9.85546875" style="3" customWidth="1"/>
    <col min="2819" max="2819" width="8.7109375" style="3"/>
    <col min="2820" max="2820" width="3" style="3" customWidth="1"/>
    <col min="2821" max="2821" width="18.42578125" style="3" customWidth="1"/>
    <col min="2822" max="2822" width="0" style="3" hidden="1" customWidth="1"/>
    <col min="2823" max="2823" width="3" style="3" customWidth="1"/>
    <col min="2824" max="2824" width="10.7109375" style="3" customWidth="1"/>
    <col min="2825" max="2825" width="2.7109375" style="3" customWidth="1"/>
    <col min="2826" max="2826" width="6.7109375" style="3" customWidth="1"/>
    <col min="2827" max="2827" width="3" style="3" customWidth="1"/>
    <col min="2828" max="2828" width="17.7109375" style="3" customWidth="1"/>
    <col min="2829" max="2829" width="10.5703125" style="3" customWidth="1"/>
    <col min="2830" max="2830" width="17.28515625" style="3" bestFit="1" customWidth="1"/>
    <col min="2831" max="2845" width="11.7109375" style="3" customWidth="1"/>
    <col min="2846" max="3072" width="8.7109375" style="3"/>
    <col min="3073" max="3073" width="34.5703125" style="3" customWidth="1"/>
    <col min="3074" max="3074" width="9.85546875" style="3" customWidth="1"/>
    <col min="3075" max="3075" width="8.7109375" style="3"/>
    <col min="3076" max="3076" width="3" style="3" customWidth="1"/>
    <col min="3077" max="3077" width="18.42578125" style="3" customWidth="1"/>
    <col min="3078" max="3078" width="0" style="3" hidden="1" customWidth="1"/>
    <col min="3079" max="3079" width="3" style="3" customWidth="1"/>
    <col min="3080" max="3080" width="10.7109375" style="3" customWidth="1"/>
    <col min="3081" max="3081" width="2.7109375" style="3" customWidth="1"/>
    <col min="3082" max="3082" width="6.7109375" style="3" customWidth="1"/>
    <col min="3083" max="3083" width="3" style="3" customWidth="1"/>
    <col min="3084" max="3084" width="17.7109375" style="3" customWidth="1"/>
    <col min="3085" max="3085" width="10.5703125" style="3" customWidth="1"/>
    <col min="3086" max="3086" width="17.28515625" style="3" bestFit="1" customWidth="1"/>
    <col min="3087" max="3101" width="11.7109375" style="3" customWidth="1"/>
    <col min="3102" max="3328" width="8.7109375" style="3"/>
    <col min="3329" max="3329" width="34.5703125" style="3" customWidth="1"/>
    <col min="3330" max="3330" width="9.85546875" style="3" customWidth="1"/>
    <col min="3331" max="3331" width="8.7109375" style="3"/>
    <col min="3332" max="3332" width="3" style="3" customWidth="1"/>
    <col min="3333" max="3333" width="18.42578125" style="3" customWidth="1"/>
    <col min="3334" max="3334" width="0" style="3" hidden="1" customWidth="1"/>
    <col min="3335" max="3335" width="3" style="3" customWidth="1"/>
    <col min="3336" max="3336" width="10.7109375" style="3" customWidth="1"/>
    <col min="3337" max="3337" width="2.7109375" style="3" customWidth="1"/>
    <col min="3338" max="3338" width="6.7109375" style="3" customWidth="1"/>
    <col min="3339" max="3339" width="3" style="3" customWidth="1"/>
    <col min="3340" max="3340" width="17.7109375" style="3" customWidth="1"/>
    <col min="3341" max="3341" width="10.5703125" style="3" customWidth="1"/>
    <col min="3342" max="3342" width="17.28515625" style="3" bestFit="1" customWidth="1"/>
    <col min="3343" max="3357" width="11.7109375" style="3" customWidth="1"/>
    <col min="3358" max="3584" width="8.7109375" style="3"/>
    <col min="3585" max="3585" width="34.5703125" style="3" customWidth="1"/>
    <col min="3586" max="3586" width="9.85546875" style="3" customWidth="1"/>
    <col min="3587" max="3587" width="8.7109375" style="3"/>
    <col min="3588" max="3588" width="3" style="3" customWidth="1"/>
    <col min="3589" max="3589" width="18.42578125" style="3" customWidth="1"/>
    <col min="3590" max="3590" width="0" style="3" hidden="1" customWidth="1"/>
    <col min="3591" max="3591" width="3" style="3" customWidth="1"/>
    <col min="3592" max="3592" width="10.7109375" style="3" customWidth="1"/>
    <col min="3593" max="3593" width="2.7109375" style="3" customWidth="1"/>
    <col min="3594" max="3594" width="6.7109375" style="3" customWidth="1"/>
    <col min="3595" max="3595" width="3" style="3" customWidth="1"/>
    <col min="3596" max="3596" width="17.7109375" style="3" customWidth="1"/>
    <col min="3597" max="3597" width="10.5703125" style="3" customWidth="1"/>
    <col min="3598" max="3598" width="17.28515625" style="3" bestFit="1" customWidth="1"/>
    <col min="3599" max="3613" width="11.7109375" style="3" customWidth="1"/>
    <col min="3614" max="3840" width="8.7109375" style="3"/>
    <col min="3841" max="3841" width="34.5703125" style="3" customWidth="1"/>
    <col min="3842" max="3842" width="9.85546875" style="3" customWidth="1"/>
    <col min="3843" max="3843" width="8.7109375" style="3"/>
    <col min="3844" max="3844" width="3" style="3" customWidth="1"/>
    <col min="3845" max="3845" width="18.42578125" style="3" customWidth="1"/>
    <col min="3846" max="3846" width="0" style="3" hidden="1" customWidth="1"/>
    <col min="3847" max="3847" width="3" style="3" customWidth="1"/>
    <col min="3848" max="3848" width="10.7109375" style="3" customWidth="1"/>
    <col min="3849" max="3849" width="2.7109375" style="3" customWidth="1"/>
    <col min="3850" max="3850" width="6.7109375" style="3" customWidth="1"/>
    <col min="3851" max="3851" width="3" style="3" customWidth="1"/>
    <col min="3852" max="3852" width="17.7109375" style="3" customWidth="1"/>
    <col min="3853" max="3853" width="10.5703125" style="3" customWidth="1"/>
    <col min="3854" max="3854" width="17.28515625" style="3" bestFit="1" customWidth="1"/>
    <col min="3855" max="3869" width="11.7109375" style="3" customWidth="1"/>
    <col min="3870" max="4096" width="8.7109375" style="3"/>
    <col min="4097" max="4097" width="34.5703125" style="3" customWidth="1"/>
    <col min="4098" max="4098" width="9.85546875" style="3" customWidth="1"/>
    <col min="4099" max="4099" width="8.7109375" style="3"/>
    <col min="4100" max="4100" width="3" style="3" customWidth="1"/>
    <col min="4101" max="4101" width="18.42578125" style="3" customWidth="1"/>
    <col min="4102" max="4102" width="0" style="3" hidden="1" customWidth="1"/>
    <col min="4103" max="4103" width="3" style="3" customWidth="1"/>
    <col min="4104" max="4104" width="10.7109375" style="3" customWidth="1"/>
    <col min="4105" max="4105" width="2.7109375" style="3" customWidth="1"/>
    <col min="4106" max="4106" width="6.7109375" style="3" customWidth="1"/>
    <col min="4107" max="4107" width="3" style="3" customWidth="1"/>
    <col min="4108" max="4108" width="17.7109375" style="3" customWidth="1"/>
    <col min="4109" max="4109" width="10.5703125" style="3" customWidth="1"/>
    <col min="4110" max="4110" width="17.28515625" style="3" bestFit="1" customWidth="1"/>
    <col min="4111" max="4125" width="11.7109375" style="3" customWidth="1"/>
    <col min="4126" max="4352" width="8.7109375" style="3"/>
    <col min="4353" max="4353" width="34.5703125" style="3" customWidth="1"/>
    <col min="4354" max="4354" width="9.85546875" style="3" customWidth="1"/>
    <col min="4355" max="4355" width="8.7109375" style="3"/>
    <col min="4356" max="4356" width="3" style="3" customWidth="1"/>
    <col min="4357" max="4357" width="18.42578125" style="3" customWidth="1"/>
    <col min="4358" max="4358" width="0" style="3" hidden="1" customWidth="1"/>
    <col min="4359" max="4359" width="3" style="3" customWidth="1"/>
    <col min="4360" max="4360" width="10.7109375" style="3" customWidth="1"/>
    <col min="4361" max="4361" width="2.7109375" style="3" customWidth="1"/>
    <col min="4362" max="4362" width="6.7109375" style="3" customWidth="1"/>
    <col min="4363" max="4363" width="3" style="3" customWidth="1"/>
    <col min="4364" max="4364" width="17.7109375" style="3" customWidth="1"/>
    <col min="4365" max="4365" width="10.5703125" style="3" customWidth="1"/>
    <col min="4366" max="4366" width="17.28515625" style="3" bestFit="1" customWidth="1"/>
    <col min="4367" max="4381" width="11.7109375" style="3" customWidth="1"/>
    <col min="4382" max="4608" width="8.7109375" style="3"/>
    <col min="4609" max="4609" width="34.5703125" style="3" customWidth="1"/>
    <col min="4610" max="4610" width="9.85546875" style="3" customWidth="1"/>
    <col min="4611" max="4611" width="8.7109375" style="3"/>
    <col min="4612" max="4612" width="3" style="3" customWidth="1"/>
    <col min="4613" max="4613" width="18.42578125" style="3" customWidth="1"/>
    <col min="4614" max="4614" width="0" style="3" hidden="1" customWidth="1"/>
    <col min="4615" max="4615" width="3" style="3" customWidth="1"/>
    <col min="4616" max="4616" width="10.7109375" style="3" customWidth="1"/>
    <col min="4617" max="4617" width="2.7109375" style="3" customWidth="1"/>
    <col min="4618" max="4618" width="6.7109375" style="3" customWidth="1"/>
    <col min="4619" max="4619" width="3" style="3" customWidth="1"/>
    <col min="4620" max="4620" width="17.7109375" style="3" customWidth="1"/>
    <col min="4621" max="4621" width="10.5703125" style="3" customWidth="1"/>
    <col min="4622" max="4622" width="17.28515625" style="3" bestFit="1" customWidth="1"/>
    <col min="4623" max="4637" width="11.7109375" style="3" customWidth="1"/>
    <col min="4638" max="4864" width="8.7109375" style="3"/>
    <col min="4865" max="4865" width="34.5703125" style="3" customWidth="1"/>
    <col min="4866" max="4866" width="9.85546875" style="3" customWidth="1"/>
    <col min="4867" max="4867" width="8.7109375" style="3"/>
    <col min="4868" max="4868" width="3" style="3" customWidth="1"/>
    <col min="4869" max="4869" width="18.42578125" style="3" customWidth="1"/>
    <col min="4870" max="4870" width="0" style="3" hidden="1" customWidth="1"/>
    <col min="4871" max="4871" width="3" style="3" customWidth="1"/>
    <col min="4872" max="4872" width="10.7109375" style="3" customWidth="1"/>
    <col min="4873" max="4873" width="2.7109375" style="3" customWidth="1"/>
    <col min="4874" max="4874" width="6.7109375" style="3" customWidth="1"/>
    <col min="4875" max="4875" width="3" style="3" customWidth="1"/>
    <col min="4876" max="4876" width="17.7109375" style="3" customWidth="1"/>
    <col min="4877" max="4877" width="10.5703125" style="3" customWidth="1"/>
    <col min="4878" max="4878" width="17.28515625" style="3" bestFit="1" customWidth="1"/>
    <col min="4879" max="4893" width="11.7109375" style="3" customWidth="1"/>
    <col min="4894" max="5120" width="8.7109375" style="3"/>
    <col min="5121" max="5121" width="34.5703125" style="3" customWidth="1"/>
    <col min="5122" max="5122" width="9.85546875" style="3" customWidth="1"/>
    <col min="5123" max="5123" width="8.7109375" style="3"/>
    <col min="5124" max="5124" width="3" style="3" customWidth="1"/>
    <col min="5125" max="5125" width="18.42578125" style="3" customWidth="1"/>
    <col min="5126" max="5126" width="0" style="3" hidden="1" customWidth="1"/>
    <col min="5127" max="5127" width="3" style="3" customWidth="1"/>
    <col min="5128" max="5128" width="10.7109375" style="3" customWidth="1"/>
    <col min="5129" max="5129" width="2.7109375" style="3" customWidth="1"/>
    <col min="5130" max="5130" width="6.7109375" style="3" customWidth="1"/>
    <col min="5131" max="5131" width="3" style="3" customWidth="1"/>
    <col min="5132" max="5132" width="17.7109375" style="3" customWidth="1"/>
    <col min="5133" max="5133" width="10.5703125" style="3" customWidth="1"/>
    <col min="5134" max="5134" width="17.28515625" style="3" bestFit="1" customWidth="1"/>
    <col min="5135" max="5149" width="11.7109375" style="3" customWidth="1"/>
    <col min="5150" max="5376" width="8.7109375" style="3"/>
    <col min="5377" max="5377" width="34.5703125" style="3" customWidth="1"/>
    <col min="5378" max="5378" width="9.85546875" style="3" customWidth="1"/>
    <col min="5379" max="5379" width="8.7109375" style="3"/>
    <col min="5380" max="5380" width="3" style="3" customWidth="1"/>
    <col min="5381" max="5381" width="18.42578125" style="3" customWidth="1"/>
    <col min="5382" max="5382" width="0" style="3" hidden="1" customWidth="1"/>
    <col min="5383" max="5383" width="3" style="3" customWidth="1"/>
    <col min="5384" max="5384" width="10.7109375" style="3" customWidth="1"/>
    <col min="5385" max="5385" width="2.7109375" style="3" customWidth="1"/>
    <col min="5386" max="5386" width="6.7109375" style="3" customWidth="1"/>
    <col min="5387" max="5387" width="3" style="3" customWidth="1"/>
    <col min="5388" max="5388" width="17.7109375" style="3" customWidth="1"/>
    <col min="5389" max="5389" width="10.5703125" style="3" customWidth="1"/>
    <col min="5390" max="5390" width="17.28515625" style="3" bestFit="1" customWidth="1"/>
    <col min="5391" max="5405" width="11.7109375" style="3" customWidth="1"/>
    <col min="5406" max="5632" width="8.7109375" style="3"/>
    <col min="5633" max="5633" width="34.5703125" style="3" customWidth="1"/>
    <col min="5634" max="5634" width="9.85546875" style="3" customWidth="1"/>
    <col min="5635" max="5635" width="8.7109375" style="3"/>
    <col min="5636" max="5636" width="3" style="3" customWidth="1"/>
    <col min="5637" max="5637" width="18.42578125" style="3" customWidth="1"/>
    <col min="5638" max="5638" width="0" style="3" hidden="1" customWidth="1"/>
    <col min="5639" max="5639" width="3" style="3" customWidth="1"/>
    <col min="5640" max="5640" width="10.7109375" style="3" customWidth="1"/>
    <col min="5641" max="5641" width="2.7109375" style="3" customWidth="1"/>
    <col min="5642" max="5642" width="6.7109375" style="3" customWidth="1"/>
    <col min="5643" max="5643" width="3" style="3" customWidth="1"/>
    <col min="5644" max="5644" width="17.7109375" style="3" customWidth="1"/>
    <col min="5645" max="5645" width="10.5703125" style="3" customWidth="1"/>
    <col min="5646" max="5646" width="17.28515625" style="3" bestFit="1" customWidth="1"/>
    <col min="5647" max="5661" width="11.7109375" style="3" customWidth="1"/>
    <col min="5662" max="5888" width="8.7109375" style="3"/>
    <col min="5889" max="5889" width="34.5703125" style="3" customWidth="1"/>
    <col min="5890" max="5890" width="9.85546875" style="3" customWidth="1"/>
    <col min="5891" max="5891" width="8.7109375" style="3"/>
    <col min="5892" max="5892" width="3" style="3" customWidth="1"/>
    <col min="5893" max="5893" width="18.42578125" style="3" customWidth="1"/>
    <col min="5894" max="5894" width="0" style="3" hidden="1" customWidth="1"/>
    <col min="5895" max="5895" width="3" style="3" customWidth="1"/>
    <col min="5896" max="5896" width="10.7109375" style="3" customWidth="1"/>
    <col min="5897" max="5897" width="2.7109375" style="3" customWidth="1"/>
    <col min="5898" max="5898" width="6.7109375" style="3" customWidth="1"/>
    <col min="5899" max="5899" width="3" style="3" customWidth="1"/>
    <col min="5900" max="5900" width="17.7109375" style="3" customWidth="1"/>
    <col min="5901" max="5901" width="10.5703125" style="3" customWidth="1"/>
    <col min="5902" max="5902" width="17.28515625" style="3" bestFit="1" customWidth="1"/>
    <col min="5903" max="5917" width="11.7109375" style="3" customWidth="1"/>
    <col min="5918" max="6144" width="8.7109375" style="3"/>
    <col min="6145" max="6145" width="34.5703125" style="3" customWidth="1"/>
    <col min="6146" max="6146" width="9.85546875" style="3" customWidth="1"/>
    <col min="6147" max="6147" width="8.7109375" style="3"/>
    <col min="6148" max="6148" width="3" style="3" customWidth="1"/>
    <col min="6149" max="6149" width="18.42578125" style="3" customWidth="1"/>
    <col min="6150" max="6150" width="0" style="3" hidden="1" customWidth="1"/>
    <col min="6151" max="6151" width="3" style="3" customWidth="1"/>
    <col min="6152" max="6152" width="10.7109375" style="3" customWidth="1"/>
    <col min="6153" max="6153" width="2.7109375" style="3" customWidth="1"/>
    <col min="6154" max="6154" width="6.7109375" style="3" customWidth="1"/>
    <col min="6155" max="6155" width="3" style="3" customWidth="1"/>
    <col min="6156" max="6156" width="17.7109375" style="3" customWidth="1"/>
    <col min="6157" max="6157" width="10.5703125" style="3" customWidth="1"/>
    <col min="6158" max="6158" width="17.28515625" style="3" bestFit="1" customWidth="1"/>
    <col min="6159" max="6173" width="11.7109375" style="3" customWidth="1"/>
    <col min="6174" max="6400" width="8.7109375" style="3"/>
    <col min="6401" max="6401" width="34.5703125" style="3" customWidth="1"/>
    <col min="6402" max="6402" width="9.85546875" style="3" customWidth="1"/>
    <col min="6403" max="6403" width="8.7109375" style="3"/>
    <col min="6404" max="6404" width="3" style="3" customWidth="1"/>
    <col min="6405" max="6405" width="18.42578125" style="3" customWidth="1"/>
    <col min="6406" max="6406" width="0" style="3" hidden="1" customWidth="1"/>
    <col min="6407" max="6407" width="3" style="3" customWidth="1"/>
    <col min="6408" max="6408" width="10.7109375" style="3" customWidth="1"/>
    <col min="6409" max="6409" width="2.7109375" style="3" customWidth="1"/>
    <col min="6410" max="6410" width="6.7109375" style="3" customWidth="1"/>
    <col min="6411" max="6411" width="3" style="3" customWidth="1"/>
    <col min="6412" max="6412" width="17.7109375" style="3" customWidth="1"/>
    <col min="6413" max="6413" width="10.5703125" style="3" customWidth="1"/>
    <col min="6414" max="6414" width="17.28515625" style="3" bestFit="1" customWidth="1"/>
    <col min="6415" max="6429" width="11.7109375" style="3" customWidth="1"/>
    <col min="6430" max="6656" width="8.7109375" style="3"/>
    <col min="6657" max="6657" width="34.5703125" style="3" customWidth="1"/>
    <col min="6658" max="6658" width="9.85546875" style="3" customWidth="1"/>
    <col min="6659" max="6659" width="8.7109375" style="3"/>
    <col min="6660" max="6660" width="3" style="3" customWidth="1"/>
    <col min="6661" max="6661" width="18.42578125" style="3" customWidth="1"/>
    <col min="6662" max="6662" width="0" style="3" hidden="1" customWidth="1"/>
    <col min="6663" max="6663" width="3" style="3" customWidth="1"/>
    <col min="6664" max="6664" width="10.7109375" style="3" customWidth="1"/>
    <col min="6665" max="6665" width="2.7109375" style="3" customWidth="1"/>
    <col min="6666" max="6666" width="6.7109375" style="3" customWidth="1"/>
    <col min="6667" max="6667" width="3" style="3" customWidth="1"/>
    <col min="6668" max="6668" width="17.7109375" style="3" customWidth="1"/>
    <col min="6669" max="6669" width="10.5703125" style="3" customWidth="1"/>
    <col min="6670" max="6670" width="17.28515625" style="3" bestFit="1" customWidth="1"/>
    <col min="6671" max="6685" width="11.7109375" style="3" customWidth="1"/>
    <col min="6686" max="6912" width="8.7109375" style="3"/>
    <col min="6913" max="6913" width="34.5703125" style="3" customWidth="1"/>
    <col min="6914" max="6914" width="9.85546875" style="3" customWidth="1"/>
    <col min="6915" max="6915" width="8.7109375" style="3"/>
    <col min="6916" max="6916" width="3" style="3" customWidth="1"/>
    <col min="6917" max="6917" width="18.42578125" style="3" customWidth="1"/>
    <col min="6918" max="6918" width="0" style="3" hidden="1" customWidth="1"/>
    <col min="6919" max="6919" width="3" style="3" customWidth="1"/>
    <col min="6920" max="6920" width="10.7109375" style="3" customWidth="1"/>
    <col min="6921" max="6921" width="2.7109375" style="3" customWidth="1"/>
    <col min="6922" max="6922" width="6.7109375" style="3" customWidth="1"/>
    <col min="6923" max="6923" width="3" style="3" customWidth="1"/>
    <col min="6924" max="6924" width="17.7109375" style="3" customWidth="1"/>
    <col min="6925" max="6925" width="10.5703125" style="3" customWidth="1"/>
    <col min="6926" max="6926" width="17.28515625" style="3" bestFit="1" customWidth="1"/>
    <col min="6927" max="6941" width="11.7109375" style="3" customWidth="1"/>
    <col min="6942" max="7168" width="8.7109375" style="3"/>
    <col min="7169" max="7169" width="34.5703125" style="3" customWidth="1"/>
    <col min="7170" max="7170" width="9.85546875" style="3" customWidth="1"/>
    <col min="7171" max="7171" width="8.7109375" style="3"/>
    <col min="7172" max="7172" width="3" style="3" customWidth="1"/>
    <col min="7173" max="7173" width="18.42578125" style="3" customWidth="1"/>
    <col min="7174" max="7174" width="0" style="3" hidden="1" customWidth="1"/>
    <col min="7175" max="7175" width="3" style="3" customWidth="1"/>
    <col min="7176" max="7176" width="10.7109375" style="3" customWidth="1"/>
    <col min="7177" max="7177" width="2.7109375" style="3" customWidth="1"/>
    <col min="7178" max="7178" width="6.7109375" style="3" customWidth="1"/>
    <col min="7179" max="7179" width="3" style="3" customWidth="1"/>
    <col min="7180" max="7180" width="17.7109375" style="3" customWidth="1"/>
    <col min="7181" max="7181" width="10.5703125" style="3" customWidth="1"/>
    <col min="7182" max="7182" width="17.28515625" style="3" bestFit="1" customWidth="1"/>
    <col min="7183" max="7197" width="11.7109375" style="3" customWidth="1"/>
    <col min="7198" max="7424" width="8.7109375" style="3"/>
    <col min="7425" max="7425" width="34.5703125" style="3" customWidth="1"/>
    <col min="7426" max="7426" width="9.85546875" style="3" customWidth="1"/>
    <col min="7427" max="7427" width="8.7109375" style="3"/>
    <col min="7428" max="7428" width="3" style="3" customWidth="1"/>
    <col min="7429" max="7429" width="18.42578125" style="3" customWidth="1"/>
    <col min="7430" max="7430" width="0" style="3" hidden="1" customWidth="1"/>
    <col min="7431" max="7431" width="3" style="3" customWidth="1"/>
    <col min="7432" max="7432" width="10.7109375" style="3" customWidth="1"/>
    <col min="7433" max="7433" width="2.7109375" style="3" customWidth="1"/>
    <col min="7434" max="7434" width="6.7109375" style="3" customWidth="1"/>
    <col min="7435" max="7435" width="3" style="3" customWidth="1"/>
    <col min="7436" max="7436" width="17.7109375" style="3" customWidth="1"/>
    <col min="7437" max="7437" width="10.5703125" style="3" customWidth="1"/>
    <col min="7438" max="7438" width="17.28515625" style="3" bestFit="1" customWidth="1"/>
    <col min="7439" max="7453" width="11.7109375" style="3" customWidth="1"/>
    <col min="7454" max="7680" width="8.7109375" style="3"/>
    <col min="7681" max="7681" width="34.5703125" style="3" customWidth="1"/>
    <col min="7682" max="7682" width="9.85546875" style="3" customWidth="1"/>
    <col min="7683" max="7683" width="8.7109375" style="3"/>
    <col min="7684" max="7684" width="3" style="3" customWidth="1"/>
    <col min="7685" max="7685" width="18.42578125" style="3" customWidth="1"/>
    <col min="7686" max="7686" width="0" style="3" hidden="1" customWidth="1"/>
    <col min="7687" max="7687" width="3" style="3" customWidth="1"/>
    <col min="7688" max="7688" width="10.7109375" style="3" customWidth="1"/>
    <col min="7689" max="7689" width="2.7109375" style="3" customWidth="1"/>
    <col min="7690" max="7690" width="6.7109375" style="3" customWidth="1"/>
    <col min="7691" max="7691" width="3" style="3" customWidth="1"/>
    <col min="7692" max="7692" width="17.7109375" style="3" customWidth="1"/>
    <col min="7693" max="7693" width="10.5703125" style="3" customWidth="1"/>
    <col min="7694" max="7694" width="17.28515625" style="3" bestFit="1" customWidth="1"/>
    <col min="7695" max="7709" width="11.7109375" style="3" customWidth="1"/>
    <col min="7710" max="7936" width="8.7109375" style="3"/>
    <col min="7937" max="7937" width="34.5703125" style="3" customWidth="1"/>
    <col min="7938" max="7938" width="9.85546875" style="3" customWidth="1"/>
    <col min="7939" max="7939" width="8.7109375" style="3"/>
    <col min="7940" max="7940" width="3" style="3" customWidth="1"/>
    <col min="7941" max="7941" width="18.42578125" style="3" customWidth="1"/>
    <col min="7942" max="7942" width="0" style="3" hidden="1" customWidth="1"/>
    <col min="7943" max="7943" width="3" style="3" customWidth="1"/>
    <col min="7944" max="7944" width="10.7109375" style="3" customWidth="1"/>
    <col min="7945" max="7945" width="2.7109375" style="3" customWidth="1"/>
    <col min="7946" max="7946" width="6.7109375" style="3" customWidth="1"/>
    <col min="7947" max="7947" width="3" style="3" customWidth="1"/>
    <col min="7948" max="7948" width="17.7109375" style="3" customWidth="1"/>
    <col min="7949" max="7949" width="10.5703125" style="3" customWidth="1"/>
    <col min="7950" max="7950" width="17.28515625" style="3" bestFit="1" customWidth="1"/>
    <col min="7951" max="7965" width="11.7109375" style="3" customWidth="1"/>
    <col min="7966" max="8192" width="8.7109375" style="3"/>
    <col min="8193" max="8193" width="34.5703125" style="3" customWidth="1"/>
    <col min="8194" max="8194" width="9.85546875" style="3" customWidth="1"/>
    <col min="8195" max="8195" width="8.7109375" style="3"/>
    <col min="8196" max="8196" width="3" style="3" customWidth="1"/>
    <col min="8197" max="8197" width="18.42578125" style="3" customWidth="1"/>
    <col min="8198" max="8198" width="0" style="3" hidden="1" customWidth="1"/>
    <col min="8199" max="8199" width="3" style="3" customWidth="1"/>
    <col min="8200" max="8200" width="10.7109375" style="3" customWidth="1"/>
    <col min="8201" max="8201" width="2.7109375" style="3" customWidth="1"/>
    <col min="8202" max="8202" width="6.7109375" style="3" customWidth="1"/>
    <col min="8203" max="8203" width="3" style="3" customWidth="1"/>
    <col min="8204" max="8204" width="17.7109375" style="3" customWidth="1"/>
    <col min="8205" max="8205" width="10.5703125" style="3" customWidth="1"/>
    <col min="8206" max="8206" width="17.28515625" style="3" bestFit="1" customWidth="1"/>
    <col min="8207" max="8221" width="11.7109375" style="3" customWidth="1"/>
    <col min="8222" max="8448" width="8.7109375" style="3"/>
    <col min="8449" max="8449" width="34.5703125" style="3" customWidth="1"/>
    <col min="8450" max="8450" width="9.85546875" style="3" customWidth="1"/>
    <col min="8451" max="8451" width="8.7109375" style="3"/>
    <col min="8452" max="8452" width="3" style="3" customWidth="1"/>
    <col min="8453" max="8453" width="18.42578125" style="3" customWidth="1"/>
    <col min="8454" max="8454" width="0" style="3" hidden="1" customWidth="1"/>
    <col min="8455" max="8455" width="3" style="3" customWidth="1"/>
    <col min="8456" max="8456" width="10.7109375" style="3" customWidth="1"/>
    <col min="8457" max="8457" width="2.7109375" style="3" customWidth="1"/>
    <col min="8458" max="8458" width="6.7109375" style="3" customWidth="1"/>
    <col min="8459" max="8459" width="3" style="3" customWidth="1"/>
    <col min="8460" max="8460" width="17.7109375" style="3" customWidth="1"/>
    <col min="8461" max="8461" width="10.5703125" style="3" customWidth="1"/>
    <col min="8462" max="8462" width="17.28515625" style="3" bestFit="1" customWidth="1"/>
    <col min="8463" max="8477" width="11.7109375" style="3" customWidth="1"/>
    <col min="8478" max="8704" width="8.7109375" style="3"/>
    <col min="8705" max="8705" width="34.5703125" style="3" customWidth="1"/>
    <col min="8706" max="8706" width="9.85546875" style="3" customWidth="1"/>
    <col min="8707" max="8707" width="8.7109375" style="3"/>
    <col min="8708" max="8708" width="3" style="3" customWidth="1"/>
    <col min="8709" max="8709" width="18.42578125" style="3" customWidth="1"/>
    <col min="8710" max="8710" width="0" style="3" hidden="1" customWidth="1"/>
    <col min="8711" max="8711" width="3" style="3" customWidth="1"/>
    <col min="8712" max="8712" width="10.7109375" style="3" customWidth="1"/>
    <col min="8713" max="8713" width="2.7109375" style="3" customWidth="1"/>
    <col min="8714" max="8714" width="6.7109375" style="3" customWidth="1"/>
    <col min="8715" max="8715" width="3" style="3" customWidth="1"/>
    <col min="8716" max="8716" width="17.7109375" style="3" customWidth="1"/>
    <col min="8717" max="8717" width="10.5703125" style="3" customWidth="1"/>
    <col min="8718" max="8718" width="17.28515625" style="3" bestFit="1" customWidth="1"/>
    <col min="8719" max="8733" width="11.7109375" style="3" customWidth="1"/>
    <col min="8734" max="8960" width="8.7109375" style="3"/>
    <col min="8961" max="8961" width="34.5703125" style="3" customWidth="1"/>
    <col min="8962" max="8962" width="9.85546875" style="3" customWidth="1"/>
    <col min="8963" max="8963" width="8.7109375" style="3"/>
    <col min="8964" max="8964" width="3" style="3" customWidth="1"/>
    <col min="8965" max="8965" width="18.42578125" style="3" customWidth="1"/>
    <col min="8966" max="8966" width="0" style="3" hidden="1" customWidth="1"/>
    <col min="8967" max="8967" width="3" style="3" customWidth="1"/>
    <col min="8968" max="8968" width="10.7109375" style="3" customWidth="1"/>
    <col min="8969" max="8969" width="2.7109375" style="3" customWidth="1"/>
    <col min="8970" max="8970" width="6.7109375" style="3" customWidth="1"/>
    <col min="8971" max="8971" width="3" style="3" customWidth="1"/>
    <col min="8972" max="8972" width="17.7109375" style="3" customWidth="1"/>
    <col min="8973" max="8973" width="10.5703125" style="3" customWidth="1"/>
    <col min="8974" max="8974" width="17.28515625" style="3" bestFit="1" customWidth="1"/>
    <col min="8975" max="8989" width="11.7109375" style="3" customWidth="1"/>
    <col min="8990" max="9216" width="8.7109375" style="3"/>
    <col min="9217" max="9217" width="34.5703125" style="3" customWidth="1"/>
    <col min="9218" max="9218" width="9.85546875" style="3" customWidth="1"/>
    <col min="9219" max="9219" width="8.7109375" style="3"/>
    <col min="9220" max="9220" width="3" style="3" customWidth="1"/>
    <col min="9221" max="9221" width="18.42578125" style="3" customWidth="1"/>
    <col min="9222" max="9222" width="0" style="3" hidden="1" customWidth="1"/>
    <col min="9223" max="9223" width="3" style="3" customWidth="1"/>
    <col min="9224" max="9224" width="10.7109375" style="3" customWidth="1"/>
    <col min="9225" max="9225" width="2.7109375" style="3" customWidth="1"/>
    <col min="9226" max="9226" width="6.7109375" style="3" customWidth="1"/>
    <col min="9227" max="9227" width="3" style="3" customWidth="1"/>
    <col min="9228" max="9228" width="17.7109375" style="3" customWidth="1"/>
    <col min="9229" max="9229" width="10.5703125" style="3" customWidth="1"/>
    <col min="9230" max="9230" width="17.28515625" style="3" bestFit="1" customWidth="1"/>
    <col min="9231" max="9245" width="11.7109375" style="3" customWidth="1"/>
    <col min="9246" max="9472" width="8.7109375" style="3"/>
    <col min="9473" max="9473" width="34.5703125" style="3" customWidth="1"/>
    <col min="9474" max="9474" width="9.85546875" style="3" customWidth="1"/>
    <col min="9475" max="9475" width="8.7109375" style="3"/>
    <col min="9476" max="9476" width="3" style="3" customWidth="1"/>
    <col min="9477" max="9477" width="18.42578125" style="3" customWidth="1"/>
    <col min="9478" max="9478" width="0" style="3" hidden="1" customWidth="1"/>
    <col min="9479" max="9479" width="3" style="3" customWidth="1"/>
    <col min="9480" max="9480" width="10.7109375" style="3" customWidth="1"/>
    <col min="9481" max="9481" width="2.7109375" style="3" customWidth="1"/>
    <col min="9482" max="9482" width="6.7109375" style="3" customWidth="1"/>
    <col min="9483" max="9483" width="3" style="3" customWidth="1"/>
    <col min="9484" max="9484" width="17.7109375" style="3" customWidth="1"/>
    <col min="9485" max="9485" width="10.5703125" style="3" customWidth="1"/>
    <col min="9486" max="9486" width="17.28515625" style="3" bestFit="1" customWidth="1"/>
    <col min="9487" max="9501" width="11.7109375" style="3" customWidth="1"/>
    <col min="9502" max="9728" width="8.7109375" style="3"/>
    <col min="9729" max="9729" width="34.5703125" style="3" customWidth="1"/>
    <col min="9730" max="9730" width="9.85546875" style="3" customWidth="1"/>
    <col min="9731" max="9731" width="8.7109375" style="3"/>
    <col min="9732" max="9732" width="3" style="3" customWidth="1"/>
    <col min="9733" max="9733" width="18.42578125" style="3" customWidth="1"/>
    <col min="9734" max="9734" width="0" style="3" hidden="1" customWidth="1"/>
    <col min="9735" max="9735" width="3" style="3" customWidth="1"/>
    <col min="9736" max="9736" width="10.7109375" style="3" customWidth="1"/>
    <col min="9737" max="9737" width="2.7109375" style="3" customWidth="1"/>
    <col min="9738" max="9738" width="6.7109375" style="3" customWidth="1"/>
    <col min="9739" max="9739" width="3" style="3" customWidth="1"/>
    <col min="9740" max="9740" width="17.7109375" style="3" customWidth="1"/>
    <col min="9741" max="9741" width="10.5703125" style="3" customWidth="1"/>
    <col min="9742" max="9742" width="17.28515625" style="3" bestFit="1" customWidth="1"/>
    <col min="9743" max="9757" width="11.7109375" style="3" customWidth="1"/>
    <col min="9758" max="9984" width="8.7109375" style="3"/>
    <col min="9985" max="9985" width="34.5703125" style="3" customWidth="1"/>
    <col min="9986" max="9986" width="9.85546875" style="3" customWidth="1"/>
    <col min="9987" max="9987" width="8.7109375" style="3"/>
    <col min="9988" max="9988" width="3" style="3" customWidth="1"/>
    <col min="9989" max="9989" width="18.42578125" style="3" customWidth="1"/>
    <col min="9990" max="9990" width="0" style="3" hidden="1" customWidth="1"/>
    <col min="9991" max="9991" width="3" style="3" customWidth="1"/>
    <col min="9992" max="9992" width="10.7109375" style="3" customWidth="1"/>
    <col min="9993" max="9993" width="2.7109375" style="3" customWidth="1"/>
    <col min="9994" max="9994" width="6.7109375" style="3" customWidth="1"/>
    <col min="9995" max="9995" width="3" style="3" customWidth="1"/>
    <col min="9996" max="9996" width="17.7109375" style="3" customWidth="1"/>
    <col min="9997" max="9997" width="10.5703125" style="3" customWidth="1"/>
    <col min="9998" max="9998" width="17.28515625" style="3" bestFit="1" customWidth="1"/>
    <col min="9999" max="10013" width="11.7109375" style="3" customWidth="1"/>
    <col min="10014" max="10240" width="8.7109375" style="3"/>
    <col min="10241" max="10241" width="34.5703125" style="3" customWidth="1"/>
    <col min="10242" max="10242" width="9.85546875" style="3" customWidth="1"/>
    <col min="10243" max="10243" width="8.7109375" style="3"/>
    <col min="10244" max="10244" width="3" style="3" customWidth="1"/>
    <col min="10245" max="10245" width="18.42578125" style="3" customWidth="1"/>
    <col min="10246" max="10246" width="0" style="3" hidden="1" customWidth="1"/>
    <col min="10247" max="10247" width="3" style="3" customWidth="1"/>
    <col min="10248" max="10248" width="10.7109375" style="3" customWidth="1"/>
    <col min="10249" max="10249" width="2.7109375" style="3" customWidth="1"/>
    <col min="10250" max="10250" width="6.7109375" style="3" customWidth="1"/>
    <col min="10251" max="10251" width="3" style="3" customWidth="1"/>
    <col min="10252" max="10252" width="17.7109375" style="3" customWidth="1"/>
    <col min="10253" max="10253" width="10.5703125" style="3" customWidth="1"/>
    <col min="10254" max="10254" width="17.28515625" style="3" bestFit="1" customWidth="1"/>
    <col min="10255" max="10269" width="11.7109375" style="3" customWidth="1"/>
    <col min="10270" max="10496" width="8.7109375" style="3"/>
    <col min="10497" max="10497" width="34.5703125" style="3" customWidth="1"/>
    <col min="10498" max="10498" width="9.85546875" style="3" customWidth="1"/>
    <col min="10499" max="10499" width="8.7109375" style="3"/>
    <col min="10500" max="10500" width="3" style="3" customWidth="1"/>
    <col min="10501" max="10501" width="18.42578125" style="3" customWidth="1"/>
    <col min="10502" max="10502" width="0" style="3" hidden="1" customWidth="1"/>
    <col min="10503" max="10503" width="3" style="3" customWidth="1"/>
    <col min="10504" max="10504" width="10.7109375" style="3" customWidth="1"/>
    <col min="10505" max="10505" width="2.7109375" style="3" customWidth="1"/>
    <col min="10506" max="10506" width="6.7109375" style="3" customWidth="1"/>
    <col min="10507" max="10507" width="3" style="3" customWidth="1"/>
    <col min="10508" max="10508" width="17.7109375" style="3" customWidth="1"/>
    <col min="10509" max="10509" width="10.5703125" style="3" customWidth="1"/>
    <col min="10510" max="10510" width="17.28515625" style="3" bestFit="1" customWidth="1"/>
    <col min="10511" max="10525" width="11.7109375" style="3" customWidth="1"/>
    <col min="10526" max="10752" width="8.7109375" style="3"/>
    <col min="10753" max="10753" width="34.5703125" style="3" customWidth="1"/>
    <col min="10754" max="10754" width="9.85546875" style="3" customWidth="1"/>
    <col min="10755" max="10755" width="8.7109375" style="3"/>
    <col min="10756" max="10756" width="3" style="3" customWidth="1"/>
    <col min="10757" max="10757" width="18.42578125" style="3" customWidth="1"/>
    <col min="10758" max="10758" width="0" style="3" hidden="1" customWidth="1"/>
    <col min="10759" max="10759" width="3" style="3" customWidth="1"/>
    <col min="10760" max="10760" width="10.7109375" style="3" customWidth="1"/>
    <col min="10761" max="10761" width="2.7109375" style="3" customWidth="1"/>
    <col min="10762" max="10762" width="6.7109375" style="3" customWidth="1"/>
    <col min="10763" max="10763" width="3" style="3" customWidth="1"/>
    <col min="10764" max="10764" width="17.7109375" style="3" customWidth="1"/>
    <col min="10765" max="10765" width="10.5703125" style="3" customWidth="1"/>
    <col min="10766" max="10766" width="17.28515625" style="3" bestFit="1" customWidth="1"/>
    <col min="10767" max="10781" width="11.7109375" style="3" customWidth="1"/>
    <col min="10782" max="11008" width="8.7109375" style="3"/>
    <col min="11009" max="11009" width="34.5703125" style="3" customWidth="1"/>
    <col min="11010" max="11010" width="9.85546875" style="3" customWidth="1"/>
    <col min="11011" max="11011" width="8.7109375" style="3"/>
    <col min="11012" max="11012" width="3" style="3" customWidth="1"/>
    <col min="11013" max="11013" width="18.42578125" style="3" customWidth="1"/>
    <col min="11014" max="11014" width="0" style="3" hidden="1" customWidth="1"/>
    <col min="11015" max="11015" width="3" style="3" customWidth="1"/>
    <col min="11016" max="11016" width="10.7109375" style="3" customWidth="1"/>
    <col min="11017" max="11017" width="2.7109375" style="3" customWidth="1"/>
    <col min="11018" max="11018" width="6.7109375" style="3" customWidth="1"/>
    <col min="11019" max="11019" width="3" style="3" customWidth="1"/>
    <col min="11020" max="11020" width="17.7109375" style="3" customWidth="1"/>
    <col min="11021" max="11021" width="10.5703125" style="3" customWidth="1"/>
    <col min="11022" max="11022" width="17.28515625" style="3" bestFit="1" customWidth="1"/>
    <col min="11023" max="11037" width="11.7109375" style="3" customWidth="1"/>
    <col min="11038" max="11264" width="8.7109375" style="3"/>
    <col min="11265" max="11265" width="34.5703125" style="3" customWidth="1"/>
    <col min="11266" max="11266" width="9.85546875" style="3" customWidth="1"/>
    <col min="11267" max="11267" width="8.7109375" style="3"/>
    <col min="11268" max="11268" width="3" style="3" customWidth="1"/>
    <col min="11269" max="11269" width="18.42578125" style="3" customWidth="1"/>
    <col min="11270" max="11270" width="0" style="3" hidden="1" customWidth="1"/>
    <col min="11271" max="11271" width="3" style="3" customWidth="1"/>
    <col min="11272" max="11272" width="10.7109375" style="3" customWidth="1"/>
    <col min="11273" max="11273" width="2.7109375" style="3" customWidth="1"/>
    <col min="11274" max="11274" width="6.7109375" style="3" customWidth="1"/>
    <col min="11275" max="11275" width="3" style="3" customWidth="1"/>
    <col min="11276" max="11276" width="17.7109375" style="3" customWidth="1"/>
    <col min="11277" max="11277" width="10.5703125" style="3" customWidth="1"/>
    <col min="11278" max="11278" width="17.28515625" style="3" bestFit="1" customWidth="1"/>
    <col min="11279" max="11293" width="11.7109375" style="3" customWidth="1"/>
    <col min="11294" max="11520" width="8.7109375" style="3"/>
    <col min="11521" max="11521" width="34.5703125" style="3" customWidth="1"/>
    <col min="11522" max="11522" width="9.85546875" style="3" customWidth="1"/>
    <col min="11523" max="11523" width="8.7109375" style="3"/>
    <col min="11524" max="11524" width="3" style="3" customWidth="1"/>
    <col min="11525" max="11525" width="18.42578125" style="3" customWidth="1"/>
    <col min="11526" max="11526" width="0" style="3" hidden="1" customWidth="1"/>
    <col min="11527" max="11527" width="3" style="3" customWidth="1"/>
    <col min="11528" max="11528" width="10.7109375" style="3" customWidth="1"/>
    <col min="11529" max="11529" width="2.7109375" style="3" customWidth="1"/>
    <col min="11530" max="11530" width="6.7109375" style="3" customWidth="1"/>
    <col min="11531" max="11531" width="3" style="3" customWidth="1"/>
    <col min="11532" max="11532" width="17.7109375" style="3" customWidth="1"/>
    <col min="11533" max="11533" width="10.5703125" style="3" customWidth="1"/>
    <col min="11534" max="11534" width="17.28515625" style="3" bestFit="1" customWidth="1"/>
    <col min="11535" max="11549" width="11.7109375" style="3" customWidth="1"/>
    <col min="11550" max="11776" width="8.7109375" style="3"/>
    <col min="11777" max="11777" width="34.5703125" style="3" customWidth="1"/>
    <col min="11778" max="11778" width="9.85546875" style="3" customWidth="1"/>
    <col min="11779" max="11779" width="8.7109375" style="3"/>
    <col min="11780" max="11780" width="3" style="3" customWidth="1"/>
    <col min="11781" max="11781" width="18.42578125" style="3" customWidth="1"/>
    <col min="11782" max="11782" width="0" style="3" hidden="1" customWidth="1"/>
    <col min="11783" max="11783" width="3" style="3" customWidth="1"/>
    <col min="11784" max="11784" width="10.7109375" style="3" customWidth="1"/>
    <col min="11785" max="11785" width="2.7109375" style="3" customWidth="1"/>
    <col min="11786" max="11786" width="6.7109375" style="3" customWidth="1"/>
    <col min="11787" max="11787" width="3" style="3" customWidth="1"/>
    <col min="11788" max="11788" width="17.7109375" style="3" customWidth="1"/>
    <col min="11789" max="11789" width="10.5703125" style="3" customWidth="1"/>
    <col min="11790" max="11790" width="17.28515625" style="3" bestFit="1" customWidth="1"/>
    <col min="11791" max="11805" width="11.7109375" style="3" customWidth="1"/>
    <col min="11806" max="12032" width="8.7109375" style="3"/>
    <col min="12033" max="12033" width="34.5703125" style="3" customWidth="1"/>
    <col min="12034" max="12034" width="9.85546875" style="3" customWidth="1"/>
    <col min="12035" max="12035" width="8.7109375" style="3"/>
    <col min="12036" max="12036" width="3" style="3" customWidth="1"/>
    <col min="12037" max="12037" width="18.42578125" style="3" customWidth="1"/>
    <col min="12038" max="12038" width="0" style="3" hidden="1" customWidth="1"/>
    <col min="12039" max="12039" width="3" style="3" customWidth="1"/>
    <col min="12040" max="12040" width="10.7109375" style="3" customWidth="1"/>
    <col min="12041" max="12041" width="2.7109375" style="3" customWidth="1"/>
    <col min="12042" max="12042" width="6.7109375" style="3" customWidth="1"/>
    <col min="12043" max="12043" width="3" style="3" customWidth="1"/>
    <col min="12044" max="12044" width="17.7109375" style="3" customWidth="1"/>
    <col min="12045" max="12045" width="10.5703125" style="3" customWidth="1"/>
    <col min="12046" max="12046" width="17.28515625" style="3" bestFit="1" customWidth="1"/>
    <col min="12047" max="12061" width="11.7109375" style="3" customWidth="1"/>
    <col min="12062" max="12288" width="8.7109375" style="3"/>
    <col min="12289" max="12289" width="34.5703125" style="3" customWidth="1"/>
    <col min="12290" max="12290" width="9.85546875" style="3" customWidth="1"/>
    <col min="12291" max="12291" width="8.7109375" style="3"/>
    <col min="12292" max="12292" width="3" style="3" customWidth="1"/>
    <col min="12293" max="12293" width="18.42578125" style="3" customWidth="1"/>
    <col min="12294" max="12294" width="0" style="3" hidden="1" customWidth="1"/>
    <col min="12295" max="12295" width="3" style="3" customWidth="1"/>
    <col min="12296" max="12296" width="10.7109375" style="3" customWidth="1"/>
    <col min="12297" max="12297" width="2.7109375" style="3" customWidth="1"/>
    <col min="12298" max="12298" width="6.7109375" style="3" customWidth="1"/>
    <col min="12299" max="12299" width="3" style="3" customWidth="1"/>
    <col min="12300" max="12300" width="17.7109375" style="3" customWidth="1"/>
    <col min="12301" max="12301" width="10.5703125" style="3" customWidth="1"/>
    <col min="12302" max="12302" width="17.28515625" style="3" bestFit="1" customWidth="1"/>
    <col min="12303" max="12317" width="11.7109375" style="3" customWidth="1"/>
    <col min="12318" max="12544" width="8.7109375" style="3"/>
    <col min="12545" max="12545" width="34.5703125" style="3" customWidth="1"/>
    <col min="12546" max="12546" width="9.85546875" style="3" customWidth="1"/>
    <col min="12547" max="12547" width="8.7109375" style="3"/>
    <col min="12548" max="12548" width="3" style="3" customWidth="1"/>
    <col min="12549" max="12549" width="18.42578125" style="3" customWidth="1"/>
    <col min="12550" max="12550" width="0" style="3" hidden="1" customWidth="1"/>
    <col min="12551" max="12551" width="3" style="3" customWidth="1"/>
    <col min="12552" max="12552" width="10.7109375" style="3" customWidth="1"/>
    <col min="12553" max="12553" width="2.7109375" style="3" customWidth="1"/>
    <col min="12554" max="12554" width="6.7109375" style="3" customWidth="1"/>
    <col min="12555" max="12555" width="3" style="3" customWidth="1"/>
    <col min="12556" max="12556" width="17.7109375" style="3" customWidth="1"/>
    <col min="12557" max="12557" width="10.5703125" style="3" customWidth="1"/>
    <col min="12558" max="12558" width="17.28515625" style="3" bestFit="1" customWidth="1"/>
    <col min="12559" max="12573" width="11.7109375" style="3" customWidth="1"/>
    <col min="12574" max="12800" width="8.7109375" style="3"/>
    <col min="12801" max="12801" width="34.5703125" style="3" customWidth="1"/>
    <col min="12802" max="12802" width="9.85546875" style="3" customWidth="1"/>
    <col min="12803" max="12803" width="8.7109375" style="3"/>
    <col min="12804" max="12804" width="3" style="3" customWidth="1"/>
    <col min="12805" max="12805" width="18.42578125" style="3" customWidth="1"/>
    <col min="12806" max="12806" width="0" style="3" hidden="1" customWidth="1"/>
    <col min="12807" max="12807" width="3" style="3" customWidth="1"/>
    <col min="12808" max="12808" width="10.7109375" style="3" customWidth="1"/>
    <col min="12809" max="12809" width="2.7109375" style="3" customWidth="1"/>
    <col min="12810" max="12810" width="6.7109375" style="3" customWidth="1"/>
    <col min="12811" max="12811" width="3" style="3" customWidth="1"/>
    <col min="12812" max="12812" width="17.7109375" style="3" customWidth="1"/>
    <col min="12813" max="12813" width="10.5703125" style="3" customWidth="1"/>
    <col min="12814" max="12814" width="17.28515625" style="3" bestFit="1" customWidth="1"/>
    <col min="12815" max="12829" width="11.7109375" style="3" customWidth="1"/>
    <col min="12830" max="13056" width="8.7109375" style="3"/>
    <col min="13057" max="13057" width="34.5703125" style="3" customWidth="1"/>
    <col min="13058" max="13058" width="9.85546875" style="3" customWidth="1"/>
    <col min="13059" max="13059" width="8.7109375" style="3"/>
    <col min="13060" max="13060" width="3" style="3" customWidth="1"/>
    <col min="13061" max="13061" width="18.42578125" style="3" customWidth="1"/>
    <col min="13062" max="13062" width="0" style="3" hidden="1" customWidth="1"/>
    <col min="13063" max="13063" width="3" style="3" customWidth="1"/>
    <col min="13064" max="13064" width="10.7109375" style="3" customWidth="1"/>
    <col min="13065" max="13065" width="2.7109375" style="3" customWidth="1"/>
    <col min="13066" max="13066" width="6.7109375" style="3" customWidth="1"/>
    <col min="13067" max="13067" width="3" style="3" customWidth="1"/>
    <col min="13068" max="13068" width="17.7109375" style="3" customWidth="1"/>
    <col min="13069" max="13069" width="10.5703125" style="3" customWidth="1"/>
    <col min="13070" max="13070" width="17.28515625" style="3" bestFit="1" customWidth="1"/>
    <col min="13071" max="13085" width="11.7109375" style="3" customWidth="1"/>
    <col min="13086" max="13312" width="8.7109375" style="3"/>
    <col min="13313" max="13313" width="34.5703125" style="3" customWidth="1"/>
    <col min="13314" max="13314" width="9.85546875" style="3" customWidth="1"/>
    <col min="13315" max="13315" width="8.7109375" style="3"/>
    <col min="13316" max="13316" width="3" style="3" customWidth="1"/>
    <col min="13317" max="13317" width="18.42578125" style="3" customWidth="1"/>
    <col min="13318" max="13318" width="0" style="3" hidden="1" customWidth="1"/>
    <col min="13319" max="13319" width="3" style="3" customWidth="1"/>
    <col min="13320" max="13320" width="10.7109375" style="3" customWidth="1"/>
    <col min="13321" max="13321" width="2.7109375" style="3" customWidth="1"/>
    <col min="13322" max="13322" width="6.7109375" style="3" customWidth="1"/>
    <col min="13323" max="13323" width="3" style="3" customWidth="1"/>
    <col min="13324" max="13324" width="17.7109375" style="3" customWidth="1"/>
    <col min="13325" max="13325" width="10.5703125" style="3" customWidth="1"/>
    <col min="13326" max="13326" width="17.28515625" style="3" bestFit="1" customWidth="1"/>
    <col min="13327" max="13341" width="11.7109375" style="3" customWidth="1"/>
    <col min="13342" max="13568" width="8.7109375" style="3"/>
    <col min="13569" max="13569" width="34.5703125" style="3" customWidth="1"/>
    <col min="13570" max="13570" width="9.85546875" style="3" customWidth="1"/>
    <col min="13571" max="13571" width="8.7109375" style="3"/>
    <col min="13572" max="13572" width="3" style="3" customWidth="1"/>
    <col min="13573" max="13573" width="18.42578125" style="3" customWidth="1"/>
    <col min="13574" max="13574" width="0" style="3" hidden="1" customWidth="1"/>
    <col min="13575" max="13575" width="3" style="3" customWidth="1"/>
    <col min="13576" max="13576" width="10.7109375" style="3" customWidth="1"/>
    <col min="13577" max="13577" width="2.7109375" style="3" customWidth="1"/>
    <col min="13578" max="13578" width="6.7109375" style="3" customWidth="1"/>
    <col min="13579" max="13579" width="3" style="3" customWidth="1"/>
    <col min="13580" max="13580" width="17.7109375" style="3" customWidth="1"/>
    <col min="13581" max="13581" width="10.5703125" style="3" customWidth="1"/>
    <col min="13582" max="13582" width="17.28515625" style="3" bestFit="1" customWidth="1"/>
    <col min="13583" max="13597" width="11.7109375" style="3" customWidth="1"/>
    <col min="13598" max="13824" width="8.7109375" style="3"/>
    <col min="13825" max="13825" width="34.5703125" style="3" customWidth="1"/>
    <col min="13826" max="13826" width="9.85546875" style="3" customWidth="1"/>
    <col min="13827" max="13827" width="8.7109375" style="3"/>
    <col min="13828" max="13828" width="3" style="3" customWidth="1"/>
    <col min="13829" max="13829" width="18.42578125" style="3" customWidth="1"/>
    <col min="13830" max="13830" width="0" style="3" hidden="1" customWidth="1"/>
    <col min="13831" max="13831" width="3" style="3" customWidth="1"/>
    <col min="13832" max="13832" width="10.7109375" style="3" customWidth="1"/>
    <col min="13833" max="13833" width="2.7109375" style="3" customWidth="1"/>
    <col min="13834" max="13834" width="6.7109375" style="3" customWidth="1"/>
    <col min="13835" max="13835" width="3" style="3" customWidth="1"/>
    <col min="13836" max="13836" width="17.7109375" style="3" customWidth="1"/>
    <col min="13837" max="13837" width="10.5703125" style="3" customWidth="1"/>
    <col min="13838" max="13838" width="17.28515625" style="3" bestFit="1" customWidth="1"/>
    <col min="13839" max="13853" width="11.7109375" style="3" customWidth="1"/>
    <col min="13854" max="14080" width="8.7109375" style="3"/>
    <col min="14081" max="14081" width="34.5703125" style="3" customWidth="1"/>
    <col min="14082" max="14082" width="9.85546875" style="3" customWidth="1"/>
    <col min="14083" max="14083" width="8.7109375" style="3"/>
    <col min="14084" max="14084" width="3" style="3" customWidth="1"/>
    <col min="14085" max="14085" width="18.42578125" style="3" customWidth="1"/>
    <col min="14086" max="14086" width="0" style="3" hidden="1" customWidth="1"/>
    <col min="14087" max="14087" width="3" style="3" customWidth="1"/>
    <col min="14088" max="14088" width="10.7109375" style="3" customWidth="1"/>
    <col min="14089" max="14089" width="2.7109375" style="3" customWidth="1"/>
    <col min="14090" max="14090" width="6.7109375" style="3" customWidth="1"/>
    <col min="14091" max="14091" width="3" style="3" customWidth="1"/>
    <col min="14092" max="14092" width="17.7109375" style="3" customWidth="1"/>
    <col min="14093" max="14093" width="10.5703125" style="3" customWidth="1"/>
    <col min="14094" max="14094" width="17.28515625" style="3" bestFit="1" customWidth="1"/>
    <col min="14095" max="14109" width="11.7109375" style="3" customWidth="1"/>
    <col min="14110" max="14336" width="8.7109375" style="3"/>
    <col min="14337" max="14337" width="34.5703125" style="3" customWidth="1"/>
    <col min="14338" max="14338" width="9.85546875" style="3" customWidth="1"/>
    <col min="14339" max="14339" width="8.7109375" style="3"/>
    <col min="14340" max="14340" width="3" style="3" customWidth="1"/>
    <col min="14341" max="14341" width="18.42578125" style="3" customWidth="1"/>
    <col min="14342" max="14342" width="0" style="3" hidden="1" customWidth="1"/>
    <col min="14343" max="14343" width="3" style="3" customWidth="1"/>
    <col min="14344" max="14344" width="10.7109375" style="3" customWidth="1"/>
    <col min="14345" max="14345" width="2.7109375" style="3" customWidth="1"/>
    <col min="14346" max="14346" width="6.7109375" style="3" customWidth="1"/>
    <col min="14347" max="14347" width="3" style="3" customWidth="1"/>
    <col min="14348" max="14348" width="17.7109375" style="3" customWidth="1"/>
    <col min="14349" max="14349" width="10.5703125" style="3" customWidth="1"/>
    <col min="14350" max="14350" width="17.28515625" style="3" bestFit="1" customWidth="1"/>
    <col min="14351" max="14365" width="11.7109375" style="3" customWidth="1"/>
    <col min="14366" max="14592" width="8.7109375" style="3"/>
    <col min="14593" max="14593" width="34.5703125" style="3" customWidth="1"/>
    <col min="14594" max="14594" width="9.85546875" style="3" customWidth="1"/>
    <col min="14595" max="14595" width="8.7109375" style="3"/>
    <col min="14596" max="14596" width="3" style="3" customWidth="1"/>
    <col min="14597" max="14597" width="18.42578125" style="3" customWidth="1"/>
    <col min="14598" max="14598" width="0" style="3" hidden="1" customWidth="1"/>
    <col min="14599" max="14599" width="3" style="3" customWidth="1"/>
    <col min="14600" max="14600" width="10.7109375" style="3" customWidth="1"/>
    <col min="14601" max="14601" width="2.7109375" style="3" customWidth="1"/>
    <col min="14602" max="14602" width="6.7109375" style="3" customWidth="1"/>
    <col min="14603" max="14603" width="3" style="3" customWidth="1"/>
    <col min="14604" max="14604" width="17.7109375" style="3" customWidth="1"/>
    <col min="14605" max="14605" width="10.5703125" style="3" customWidth="1"/>
    <col min="14606" max="14606" width="17.28515625" style="3" bestFit="1" customWidth="1"/>
    <col min="14607" max="14621" width="11.7109375" style="3" customWidth="1"/>
    <col min="14622" max="14848" width="8.7109375" style="3"/>
    <col min="14849" max="14849" width="34.5703125" style="3" customWidth="1"/>
    <col min="14850" max="14850" width="9.85546875" style="3" customWidth="1"/>
    <col min="14851" max="14851" width="8.7109375" style="3"/>
    <col min="14852" max="14852" width="3" style="3" customWidth="1"/>
    <col min="14853" max="14853" width="18.42578125" style="3" customWidth="1"/>
    <col min="14854" max="14854" width="0" style="3" hidden="1" customWidth="1"/>
    <col min="14855" max="14855" width="3" style="3" customWidth="1"/>
    <col min="14856" max="14856" width="10.7109375" style="3" customWidth="1"/>
    <col min="14857" max="14857" width="2.7109375" style="3" customWidth="1"/>
    <col min="14858" max="14858" width="6.7109375" style="3" customWidth="1"/>
    <col min="14859" max="14859" width="3" style="3" customWidth="1"/>
    <col min="14860" max="14860" width="17.7109375" style="3" customWidth="1"/>
    <col min="14861" max="14861" width="10.5703125" style="3" customWidth="1"/>
    <col min="14862" max="14862" width="17.28515625" style="3" bestFit="1" customWidth="1"/>
    <col min="14863" max="14877" width="11.7109375" style="3" customWidth="1"/>
    <col min="14878" max="15104" width="8.7109375" style="3"/>
    <col min="15105" max="15105" width="34.5703125" style="3" customWidth="1"/>
    <col min="15106" max="15106" width="9.85546875" style="3" customWidth="1"/>
    <col min="15107" max="15107" width="8.7109375" style="3"/>
    <col min="15108" max="15108" width="3" style="3" customWidth="1"/>
    <col min="15109" max="15109" width="18.42578125" style="3" customWidth="1"/>
    <col min="15110" max="15110" width="0" style="3" hidden="1" customWidth="1"/>
    <col min="15111" max="15111" width="3" style="3" customWidth="1"/>
    <col min="15112" max="15112" width="10.7109375" style="3" customWidth="1"/>
    <col min="15113" max="15113" width="2.7109375" style="3" customWidth="1"/>
    <col min="15114" max="15114" width="6.7109375" style="3" customWidth="1"/>
    <col min="15115" max="15115" width="3" style="3" customWidth="1"/>
    <col min="15116" max="15116" width="17.7109375" style="3" customWidth="1"/>
    <col min="15117" max="15117" width="10.5703125" style="3" customWidth="1"/>
    <col min="15118" max="15118" width="17.28515625" style="3" bestFit="1" customWidth="1"/>
    <col min="15119" max="15133" width="11.7109375" style="3" customWidth="1"/>
    <col min="15134" max="15360" width="8.7109375" style="3"/>
    <col min="15361" max="15361" width="34.5703125" style="3" customWidth="1"/>
    <col min="15362" max="15362" width="9.85546875" style="3" customWidth="1"/>
    <col min="15363" max="15363" width="8.7109375" style="3"/>
    <col min="15364" max="15364" width="3" style="3" customWidth="1"/>
    <col min="15365" max="15365" width="18.42578125" style="3" customWidth="1"/>
    <col min="15366" max="15366" width="0" style="3" hidden="1" customWidth="1"/>
    <col min="15367" max="15367" width="3" style="3" customWidth="1"/>
    <col min="15368" max="15368" width="10.7109375" style="3" customWidth="1"/>
    <col min="15369" max="15369" width="2.7109375" style="3" customWidth="1"/>
    <col min="15370" max="15370" width="6.7109375" style="3" customWidth="1"/>
    <col min="15371" max="15371" width="3" style="3" customWidth="1"/>
    <col min="15372" max="15372" width="17.7109375" style="3" customWidth="1"/>
    <col min="15373" max="15373" width="10.5703125" style="3" customWidth="1"/>
    <col min="15374" max="15374" width="17.28515625" style="3" bestFit="1" customWidth="1"/>
    <col min="15375" max="15389" width="11.7109375" style="3" customWidth="1"/>
    <col min="15390" max="15616" width="8.7109375" style="3"/>
    <col min="15617" max="15617" width="34.5703125" style="3" customWidth="1"/>
    <col min="15618" max="15618" width="9.85546875" style="3" customWidth="1"/>
    <col min="15619" max="15619" width="8.7109375" style="3"/>
    <col min="15620" max="15620" width="3" style="3" customWidth="1"/>
    <col min="15621" max="15621" width="18.42578125" style="3" customWidth="1"/>
    <col min="15622" max="15622" width="0" style="3" hidden="1" customWidth="1"/>
    <col min="15623" max="15623" width="3" style="3" customWidth="1"/>
    <col min="15624" max="15624" width="10.7109375" style="3" customWidth="1"/>
    <col min="15625" max="15625" width="2.7109375" style="3" customWidth="1"/>
    <col min="15626" max="15626" width="6.7109375" style="3" customWidth="1"/>
    <col min="15627" max="15627" width="3" style="3" customWidth="1"/>
    <col min="15628" max="15628" width="17.7109375" style="3" customWidth="1"/>
    <col min="15629" max="15629" width="10.5703125" style="3" customWidth="1"/>
    <col min="15630" max="15630" width="17.28515625" style="3" bestFit="1" customWidth="1"/>
    <col min="15631" max="15645" width="11.7109375" style="3" customWidth="1"/>
    <col min="15646" max="15872" width="8.7109375" style="3"/>
    <col min="15873" max="15873" width="34.5703125" style="3" customWidth="1"/>
    <col min="15874" max="15874" width="9.85546875" style="3" customWidth="1"/>
    <col min="15875" max="15875" width="8.7109375" style="3"/>
    <col min="15876" max="15876" width="3" style="3" customWidth="1"/>
    <col min="15877" max="15877" width="18.42578125" style="3" customWidth="1"/>
    <col min="15878" max="15878" width="0" style="3" hidden="1" customWidth="1"/>
    <col min="15879" max="15879" width="3" style="3" customWidth="1"/>
    <col min="15880" max="15880" width="10.7109375" style="3" customWidth="1"/>
    <col min="15881" max="15881" width="2.7109375" style="3" customWidth="1"/>
    <col min="15882" max="15882" width="6.7109375" style="3" customWidth="1"/>
    <col min="15883" max="15883" width="3" style="3" customWidth="1"/>
    <col min="15884" max="15884" width="17.7109375" style="3" customWidth="1"/>
    <col min="15885" max="15885" width="10.5703125" style="3" customWidth="1"/>
    <col min="15886" max="15886" width="17.28515625" style="3" bestFit="1" customWidth="1"/>
    <col min="15887" max="15901" width="11.7109375" style="3" customWidth="1"/>
    <col min="15902" max="16128" width="8.7109375" style="3"/>
    <col min="16129" max="16129" width="34.5703125" style="3" customWidth="1"/>
    <col min="16130" max="16130" width="9.85546875" style="3" customWidth="1"/>
    <col min="16131" max="16131" width="8.7109375" style="3"/>
    <col min="16132" max="16132" width="3" style="3" customWidth="1"/>
    <col min="16133" max="16133" width="18.42578125" style="3" customWidth="1"/>
    <col min="16134" max="16134" width="0" style="3" hidden="1" customWidth="1"/>
    <col min="16135" max="16135" width="3" style="3" customWidth="1"/>
    <col min="16136" max="16136" width="10.7109375" style="3" customWidth="1"/>
    <col min="16137" max="16137" width="2.7109375" style="3" customWidth="1"/>
    <col min="16138" max="16138" width="6.7109375" style="3" customWidth="1"/>
    <col min="16139" max="16139" width="3" style="3" customWidth="1"/>
    <col min="16140" max="16140" width="17.7109375" style="3" customWidth="1"/>
    <col min="16141" max="16141" width="10.5703125" style="3" customWidth="1"/>
    <col min="16142" max="16142" width="17.28515625" style="3" bestFit="1" customWidth="1"/>
    <col min="16143" max="16157" width="11.7109375" style="3" customWidth="1"/>
    <col min="16158" max="16384" width="8.7109375" style="3"/>
  </cols>
  <sheetData>
    <row r="1" spans="1:26" ht="45" x14ac:dyDescent="0.6">
      <c r="A1" s="11" t="s">
        <v>221</v>
      </c>
      <c r="L1" s="24"/>
      <c r="N1" s="24"/>
      <c r="P1" s="12"/>
    </row>
    <row r="2" spans="1:26" ht="18" customHeight="1" x14ac:dyDescent="0.6">
      <c r="A2" s="11"/>
      <c r="P2" s="12"/>
    </row>
    <row r="3" spans="1:26" ht="20.100000000000001" customHeight="1" x14ac:dyDescent="0.4">
      <c r="A3" s="13" t="str">
        <f>"Exploitatieberekening "&amp;B11&amp;" jaar voor de productie-installatie van deze aanvraag"</f>
        <v>Exploitatieberekening 15 jaar voor de productie-installatie van deze aanvraag</v>
      </c>
      <c r="N3" s="24"/>
      <c r="O3" s="13"/>
      <c r="P3" s="14"/>
    </row>
    <row r="4" spans="1:26" ht="20.100000000000001" customHeight="1" x14ac:dyDescent="0.3">
      <c r="A4" s="14"/>
      <c r="P4" s="14"/>
    </row>
    <row r="5" spans="1:26" ht="18" x14ac:dyDescent="0.25">
      <c r="A5" s="13" t="s">
        <v>15</v>
      </c>
      <c r="M5" s="237"/>
    </row>
    <row r="6" spans="1:26" x14ac:dyDescent="0.25">
      <c r="A6" s="6" t="s">
        <v>26</v>
      </c>
      <c r="B6" s="598" t="str">
        <f>IF(Financieringsplan!B7="","",Financieringsplan!B7)</f>
        <v/>
      </c>
      <c r="C6" s="599"/>
      <c r="D6" s="599"/>
      <c r="E6" s="599"/>
      <c r="F6" s="599"/>
      <c r="G6" s="599"/>
      <c r="H6" s="599"/>
      <c r="I6" s="599"/>
      <c r="J6" s="599"/>
      <c r="K6" s="599"/>
      <c r="L6" s="600"/>
    </row>
    <row r="7" spans="1:26" x14ac:dyDescent="0.25">
      <c r="A7" s="6" t="s">
        <v>27</v>
      </c>
      <c r="B7" s="601" t="str">
        <f>IF(Productie_en_afzet!B6="","",Productie_en_afzet!B6)</f>
        <v/>
      </c>
      <c r="C7" s="567"/>
      <c r="D7" s="567"/>
      <c r="E7" s="567"/>
      <c r="F7" s="567"/>
      <c r="G7" s="567"/>
      <c r="H7" s="567"/>
      <c r="I7" s="567"/>
      <c r="J7" s="567"/>
      <c r="K7" s="567"/>
      <c r="L7" s="602"/>
    </row>
    <row r="8" spans="1:26" ht="25.5" customHeight="1" x14ac:dyDescent="0.25">
      <c r="A8" s="259" t="s">
        <v>256</v>
      </c>
      <c r="B8" s="603" t="str">
        <f>Productie_en_afzet!B8</f>
        <v>Elektrolyser met aansluiting gekoppeld aan het elektriciteitsnet</v>
      </c>
      <c r="C8" s="604"/>
      <c r="D8" s="604"/>
      <c r="E8" s="604"/>
      <c r="F8" s="604"/>
      <c r="G8" s="604"/>
      <c r="H8" s="604"/>
      <c r="I8" s="604"/>
      <c r="J8" s="604"/>
      <c r="K8" s="604"/>
      <c r="L8" s="605"/>
      <c r="O8" s="6"/>
      <c r="Q8" s="6"/>
    </row>
    <row r="9" spans="1:26" x14ac:dyDescent="0.25">
      <c r="A9" s="6" t="s">
        <v>243</v>
      </c>
      <c r="B9" s="606">
        <f>'Proj.gegevens_invest.begroting'!D14</f>
        <v>0</v>
      </c>
      <c r="C9" s="607"/>
      <c r="D9" s="607"/>
      <c r="E9" s="6"/>
      <c r="F9" s="6"/>
      <c r="G9" s="6"/>
      <c r="H9" s="6"/>
      <c r="I9" s="6"/>
      <c r="J9" s="6"/>
      <c r="K9" s="6"/>
      <c r="L9" s="294"/>
      <c r="O9" s="6"/>
      <c r="Q9" s="6"/>
    </row>
    <row r="10" spans="1:26" x14ac:dyDescent="0.25">
      <c r="A10" s="6" t="s">
        <v>31</v>
      </c>
      <c r="B10" s="296">
        <f>'Proj.gegevens_invest.begroting'!D38</f>
        <v>10</v>
      </c>
      <c r="C10" s="3"/>
      <c r="E10" s="221"/>
      <c r="F10" s="221"/>
      <c r="G10" s="221"/>
      <c r="H10" s="220"/>
      <c r="I10" s="608"/>
      <c r="J10" s="608"/>
      <c r="K10" s="608"/>
      <c r="L10" s="297"/>
    </row>
    <row r="11" spans="1:26" x14ac:dyDescent="0.25">
      <c r="A11" s="6" t="s">
        <v>274</v>
      </c>
      <c r="B11" s="260">
        <f>'Proj.gegevens_invest.begroting'!D39</f>
        <v>15</v>
      </c>
      <c r="C11" s="293"/>
      <c r="D11" s="293"/>
      <c r="E11" s="261"/>
      <c r="F11" s="261"/>
      <c r="G11" s="261"/>
      <c r="H11" s="262"/>
      <c r="I11" s="295"/>
      <c r="J11" s="295"/>
      <c r="K11" s="295"/>
      <c r="L11" s="263"/>
    </row>
    <row r="12" spans="1:26" ht="18.75" customHeight="1" x14ac:dyDescent="0.25">
      <c r="A12" s="15"/>
      <c r="C12" s="225"/>
      <c r="D12" s="219"/>
      <c r="E12" s="219"/>
      <c r="F12" s="219"/>
      <c r="G12" s="219"/>
      <c r="H12" s="219"/>
      <c r="I12" s="219"/>
      <c r="J12" s="219"/>
      <c r="K12" s="17"/>
      <c r="L12" s="17"/>
    </row>
    <row r="13" spans="1:26" ht="18" x14ac:dyDescent="0.25">
      <c r="A13" s="13" t="s">
        <v>32</v>
      </c>
    </row>
    <row r="14" spans="1:26" ht="12.75" customHeight="1" x14ac:dyDescent="0.25">
      <c r="A14" s="6" t="s">
        <v>33</v>
      </c>
    </row>
    <row r="15" spans="1:26" ht="12.75" customHeight="1" x14ac:dyDescent="0.25">
      <c r="B15" s="598" t="str">
        <f>'Proj.gegevens_invest.begroting'!B51</f>
        <v>A1. Gronden en gebouwen</v>
      </c>
      <c r="C15" s="599"/>
      <c r="D15" s="599"/>
      <c r="E15" s="599"/>
      <c r="F15" s="599"/>
      <c r="G15" s="599"/>
      <c r="H15" s="599"/>
      <c r="I15" s="599"/>
      <c r="J15" s="599"/>
      <c r="K15" s="599"/>
      <c r="L15" s="600"/>
      <c r="N15" s="226">
        <f>'Proj.gegevens_invest.begroting'!G63</f>
        <v>0</v>
      </c>
      <c r="O15" s="224"/>
      <c r="P15" s="17"/>
      <c r="Q15" s="17"/>
      <c r="R15" s="17"/>
      <c r="S15" s="17"/>
      <c r="T15" s="17"/>
      <c r="U15" s="17"/>
      <c r="V15" s="17"/>
      <c r="W15" s="17"/>
      <c r="X15" s="17"/>
      <c r="Y15" s="17"/>
      <c r="Z15" s="17"/>
    </row>
    <row r="16" spans="1:26" ht="12.75" customHeight="1" x14ac:dyDescent="0.25">
      <c r="B16" s="601" t="str">
        <f>'Proj.gegevens_invest.begroting'!B65</f>
        <v>A2. Machines en apparatuur</v>
      </c>
      <c r="C16" s="567"/>
      <c r="D16" s="567"/>
      <c r="E16" s="567"/>
      <c r="F16" s="567"/>
      <c r="G16" s="567"/>
      <c r="H16" s="567"/>
      <c r="I16" s="567"/>
      <c r="J16" s="567"/>
      <c r="K16" s="567"/>
      <c r="L16" s="602"/>
      <c r="N16" s="264">
        <f>'Proj.gegevens_invest.begroting'!G84</f>
        <v>0</v>
      </c>
      <c r="O16" s="17"/>
      <c r="P16" s="17"/>
      <c r="Q16" s="17"/>
      <c r="R16" s="17"/>
      <c r="S16" s="17"/>
      <c r="T16" s="17"/>
      <c r="U16" s="17"/>
      <c r="V16" s="17"/>
      <c r="W16" s="17"/>
      <c r="X16" s="17"/>
      <c r="Y16" s="17"/>
      <c r="Z16" s="17"/>
    </row>
    <row r="17" spans="1:27" ht="12.75" customHeight="1" x14ac:dyDescent="0.25">
      <c r="B17" s="601" t="str">
        <f>'Proj.gegevens_invest.begroting'!B86</f>
        <v>A3. Materialen en hulpmiddelen</v>
      </c>
      <c r="C17" s="567"/>
      <c r="D17" s="567"/>
      <c r="E17" s="567"/>
      <c r="F17" s="567"/>
      <c r="G17" s="567"/>
      <c r="H17" s="567"/>
      <c r="I17" s="567"/>
      <c r="J17" s="567"/>
      <c r="K17" s="567"/>
      <c r="L17" s="602"/>
      <c r="N17" s="264">
        <f>'Proj.gegevens_invest.begroting'!G100</f>
        <v>0</v>
      </c>
      <c r="O17" s="17"/>
      <c r="P17" s="17"/>
      <c r="Q17" s="17"/>
      <c r="R17" s="17"/>
      <c r="S17" s="17"/>
      <c r="T17" s="17"/>
      <c r="U17" s="17"/>
      <c r="V17" s="17"/>
      <c r="W17" s="17"/>
      <c r="X17" s="17"/>
      <c r="Y17" s="17"/>
      <c r="Z17" s="17"/>
    </row>
    <row r="18" spans="1:27" ht="12.75" customHeight="1" x14ac:dyDescent="0.25">
      <c r="B18" s="601" t="str">
        <f>'Proj.gegevens_invest.begroting'!B102</f>
        <v>A4. Immateriële activa</v>
      </c>
      <c r="C18" s="567"/>
      <c r="D18" s="567"/>
      <c r="E18" s="567"/>
      <c r="F18" s="567"/>
      <c r="G18" s="567"/>
      <c r="H18" s="567"/>
      <c r="I18" s="567"/>
      <c r="J18" s="567"/>
      <c r="K18" s="567"/>
      <c r="L18" s="602"/>
      <c r="N18" s="264">
        <f>'Proj.gegevens_invest.begroting'!G113</f>
        <v>0</v>
      </c>
      <c r="O18" s="17"/>
      <c r="P18" s="17"/>
      <c r="Q18" s="9"/>
      <c r="R18" s="17"/>
      <c r="S18" s="17"/>
      <c r="T18" s="17"/>
      <c r="U18" s="17"/>
      <c r="V18" s="17"/>
      <c r="W18" s="17"/>
      <c r="X18" s="17"/>
      <c r="Y18" s="17"/>
      <c r="Z18" s="17"/>
    </row>
    <row r="19" spans="1:27" ht="12.75" customHeight="1" x14ac:dyDescent="0.25">
      <c r="B19" s="601" t="str">
        <f>'Proj.gegevens_invest.begroting'!B115</f>
        <v>A5. De aanleg van infrastructuur voor aansluiting van de waterstofproductie-installatie</v>
      </c>
      <c r="C19" s="567"/>
      <c r="D19" s="567"/>
      <c r="E19" s="567"/>
      <c r="F19" s="567"/>
      <c r="G19" s="567"/>
      <c r="H19" s="567"/>
      <c r="I19" s="567"/>
      <c r="J19" s="567"/>
      <c r="K19" s="567"/>
      <c r="L19" s="602"/>
      <c r="N19" s="264">
        <f>'Proj.gegevens_invest.begroting'!G128</f>
        <v>0</v>
      </c>
      <c r="O19" s="224"/>
      <c r="P19" s="17"/>
      <c r="Q19" s="17"/>
      <c r="R19" s="17"/>
      <c r="S19" s="17"/>
      <c r="T19" s="17"/>
      <c r="U19" s="17"/>
      <c r="V19" s="17"/>
      <c r="W19" s="17"/>
      <c r="X19" s="17"/>
      <c r="Y19" s="17"/>
      <c r="Z19" s="17"/>
    </row>
    <row r="20" spans="1:27" ht="12.75" customHeight="1" x14ac:dyDescent="0.25">
      <c r="B20" s="594" t="str">
        <f>'Proj.gegevens_invest.begroting'!B130</f>
        <v>A6. Overige kosten</v>
      </c>
      <c r="C20" s="595"/>
      <c r="D20" s="595"/>
      <c r="E20" s="595"/>
      <c r="F20" s="595"/>
      <c r="G20" s="595"/>
      <c r="H20" s="595"/>
      <c r="I20" s="595"/>
      <c r="J20" s="595"/>
      <c r="K20" s="595"/>
      <c r="L20" s="596"/>
      <c r="N20" s="227">
        <f>'Proj.gegevens_invest.begroting'!G138</f>
        <v>0</v>
      </c>
      <c r="O20" s="17"/>
      <c r="P20" s="17"/>
      <c r="Q20" s="17"/>
      <c r="R20" s="17"/>
      <c r="S20" s="17"/>
      <c r="T20" s="17"/>
      <c r="U20" s="17"/>
      <c r="V20" s="17"/>
      <c r="W20" s="17"/>
      <c r="X20" s="17"/>
      <c r="Y20" s="17"/>
      <c r="Z20" s="17"/>
    </row>
    <row r="21" spans="1:27" ht="12.75" customHeight="1" x14ac:dyDescent="0.25">
      <c r="A21" s="6" t="s">
        <v>322</v>
      </c>
      <c r="B21" s="6"/>
      <c r="C21" s="6"/>
      <c r="D21" s="6"/>
      <c r="E21" s="6"/>
      <c r="F21" s="6"/>
      <c r="G21" s="6"/>
      <c r="H21" s="6"/>
      <c r="I21" s="6"/>
      <c r="J21" s="6"/>
      <c r="K21" s="6"/>
      <c r="L21" s="6"/>
      <c r="N21" s="231">
        <f>SUM(N15:N20)</f>
        <v>0</v>
      </c>
      <c r="O21" s="17"/>
      <c r="P21" s="17"/>
      <c r="Q21" s="17"/>
      <c r="R21" s="17"/>
      <c r="S21" s="17"/>
      <c r="T21" s="17"/>
      <c r="U21" s="17"/>
      <c r="V21" s="17"/>
      <c r="W21" s="17"/>
      <c r="X21" s="17"/>
      <c r="Y21" s="17"/>
      <c r="Z21" s="17"/>
    </row>
    <row r="22" spans="1:27" ht="12.75" customHeight="1" x14ac:dyDescent="0.25">
      <c r="A22" s="6" t="s">
        <v>321</v>
      </c>
      <c r="B22" s="6"/>
      <c r="C22" s="6"/>
      <c r="D22" s="6"/>
      <c r="E22" s="6"/>
      <c r="F22" s="6"/>
      <c r="G22" s="6"/>
      <c r="H22" s="6"/>
      <c r="I22" s="6"/>
      <c r="J22" s="6"/>
      <c r="K22" s="6"/>
      <c r="L22" s="6"/>
      <c r="N22" s="231">
        <f>'Proj.gegevens_invest.begroting'!G153</f>
        <v>0</v>
      </c>
      <c r="O22" s="17"/>
      <c r="P22" s="17"/>
      <c r="Q22" s="17"/>
      <c r="R22" s="17"/>
      <c r="S22" s="17"/>
      <c r="T22" s="17"/>
      <c r="U22" s="17"/>
      <c r="V22" s="17"/>
      <c r="W22" s="17"/>
      <c r="X22" s="17"/>
      <c r="Y22" s="17"/>
      <c r="Z22" s="17"/>
    </row>
    <row r="23" spans="1:27" ht="12.75" customHeight="1" x14ac:dyDescent="0.25">
      <c r="A23" s="6" t="s">
        <v>374</v>
      </c>
      <c r="B23" s="6"/>
      <c r="C23" s="6"/>
      <c r="D23" s="6"/>
      <c r="E23" s="6"/>
      <c r="F23" s="6"/>
      <c r="G23" s="6"/>
      <c r="H23" s="6"/>
      <c r="I23" s="6"/>
      <c r="J23" s="6"/>
      <c r="K23" s="6"/>
      <c r="L23" s="6"/>
      <c r="N23" s="231">
        <f>'Proj.gegevens_invest.begroting'!G148+'Proj.gegevens_invest.begroting'!G149</f>
        <v>0</v>
      </c>
      <c r="O23" s="17"/>
      <c r="P23" s="17"/>
      <c r="Q23" s="17"/>
      <c r="R23" s="17"/>
      <c r="S23" s="17"/>
      <c r="T23" s="17"/>
      <c r="U23" s="17"/>
      <c r="V23" s="17"/>
      <c r="W23" s="17"/>
      <c r="X23" s="17"/>
      <c r="Y23" s="17"/>
      <c r="Z23" s="17"/>
    </row>
    <row r="24" spans="1:27" s="15" customFormat="1" ht="12.75" customHeight="1" x14ac:dyDescent="0.2">
      <c r="A24" s="15" t="s">
        <v>323</v>
      </c>
      <c r="N24" s="19">
        <f>N21-N22-N23</f>
        <v>0</v>
      </c>
      <c r="O24" s="20"/>
      <c r="P24" s="20"/>
      <c r="Q24" s="20"/>
      <c r="R24" s="20"/>
      <c r="S24" s="20"/>
      <c r="T24" s="20"/>
      <c r="U24" s="20"/>
      <c r="V24" s="20"/>
      <c r="W24" s="20"/>
      <c r="X24" s="20"/>
      <c r="Y24" s="20"/>
      <c r="Z24" s="20"/>
      <c r="AA24" s="20"/>
    </row>
    <row r="25" spans="1:27" s="15" customFormat="1" ht="12.75" customHeight="1" x14ac:dyDescent="0.2">
      <c r="N25" s="19"/>
      <c r="O25" s="20"/>
      <c r="P25" s="20"/>
      <c r="Q25" s="20"/>
      <c r="R25" s="20"/>
      <c r="S25" s="20"/>
      <c r="T25" s="20"/>
      <c r="U25" s="20"/>
      <c r="V25" s="20"/>
      <c r="W25" s="20"/>
      <c r="X25" s="20"/>
      <c r="Y25" s="20"/>
      <c r="Z25" s="20"/>
      <c r="AA25" s="20"/>
    </row>
    <row r="26" spans="1:27" s="15" customFormat="1" ht="12.75" customHeight="1" x14ac:dyDescent="0.2">
      <c r="N26" s="19"/>
      <c r="O26" s="20"/>
      <c r="P26" s="20"/>
      <c r="Q26" s="20"/>
      <c r="R26" s="20"/>
      <c r="S26" s="20"/>
      <c r="T26" s="20"/>
      <c r="U26" s="20"/>
      <c r="V26" s="20"/>
      <c r="W26" s="20"/>
      <c r="X26" s="20"/>
      <c r="Y26" s="20"/>
      <c r="Z26" s="20"/>
      <c r="AA26" s="20"/>
    </row>
    <row r="27" spans="1:27" s="15" customFormat="1" ht="12.75" customHeight="1" x14ac:dyDescent="0.2">
      <c r="N27" s="19"/>
      <c r="O27" s="20"/>
      <c r="P27" s="20"/>
      <c r="Q27" s="20"/>
      <c r="R27" s="20"/>
      <c r="S27" s="20"/>
      <c r="T27" s="20"/>
      <c r="U27" s="20"/>
      <c r="V27" s="20"/>
      <c r="W27" s="20"/>
      <c r="X27" s="20"/>
      <c r="Y27" s="20"/>
      <c r="Z27" s="20"/>
      <c r="AA27" s="20"/>
    </row>
    <row r="28" spans="1:27" s="15" customFormat="1" ht="18" x14ac:dyDescent="0.25">
      <c r="A28" s="13" t="s">
        <v>34</v>
      </c>
      <c r="D28" s="3"/>
      <c r="E28" s="3"/>
      <c r="F28" s="3"/>
      <c r="G28" s="3"/>
      <c r="H28" s="3"/>
      <c r="I28" s="3"/>
      <c r="J28" s="3"/>
      <c r="K28" s="3"/>
      <c r="L28" s="3"/>
      <c r="N28" s="19"/>
      <c r="O28" s="20"/>
      <c r="P28" s="20"/>
      <c r="Q28" s="20"/>
      <c r="R28" s="20"/>
      <c r="S28" s="20"/>
      <c r="T28" s="20"/>
      <c r="U28" s="20"/>
      <c r="V28" s="20"/>
      <c r="W28" s="20"/>
      <c r="X28" s="20"/>
      <c r="Y28" s="20"/>
      <c r="Z28" s="20"/>
      <c r="AA28" s="20"/>
    </row>
    <row r="29" spans="1:27" s="15" customFormat="1" ht="12.75" customHeight="1" x14ac:dyDescent="0.25">
      <c r="B29" s="595" t="s">
        <v>35</v>
      </c>
      <c r="C29" s="595"/>
      <c r="D29" s="3"/>
      <c r="E29" s="6" t="s">
        <v>36</v>
      </c>
      <c r="F29" s="3"/>
      <c r="G29" s="3"/>
      <c r="H29" s="595" t="s">
        <v>37</v>
      </c>
      <c r="I29" s="597"/>
      <c r="J29" s="597"/>
      <c r="K29" s="3"/>
      <c r="L29" s="6" t="s">
        <v>38</v>
      </c>
      <c r="N29" s="19"/>
      <c r="O29" s="20"/>
      <c r="P29" s="20"/>
      <c r="Q29" s="20"/>
      <c r="R29" s="20"/>
      <c r="S29" s="20"/>
      <c r="T29" s="20"/>
      <c r="U29" s="20"/>
      <c r="V29" s="20"/>
      <c r="W29" s="20"/>
      <c r="X29" s="20"/>
      <c r="Y29" s="20"/>
      <c r="Z29" s="20"/>
      <c r="AA29" s="20"/>
    </row>
    <row r="30" spans="1:27" s="15" customFormat="1" ht="12.75" customHeight="1" x14ac:dyDescent="0.25">
      <c r="A30" s="554" t="s">
        <v>333</v>
      </c>
      <c r="B30" s="591" t="e">
        <f>IF(Hulpblad_overig!B15=2,Financieringsplan!G51,Financieringsplan!G79)</f>
        <v>#DIV/0!</v>
      </c>
      <c r="C30" s="592"/>
      <c r="E30" s="235" t="e">
        <f>N24*B30</f>
        <v>#DIV/0!</v>
      </c>
      <c r="F30" s="3"/>
      <c r="G30" s="3"/>
      <c r="H30" s="591" t="e">
        <f>IF(Hulpblad_overig!B15=2,Financieringsplan!G52,Financieringsplan!G97)</f>
        <v>#DIV/0!</v>
      </c>
      <c r="I30" s="593"/>
      <c r="J30" s="592"/>
      <c r="L30" s="235" t="e">
        <f>N24*H30</f>
        <v>#DIV/0!</v>
      </c>
      <c r="N30" s="19"/>
      <c r="O30" s="20"/>
      <c r="P30" s="20"/>
      <c r="Q30" s="20"/>
      <c r="R30" s="20"/>
      <c r="S30" s="20"/>
      <c r="T30" s="20"/>
      <c r="U30" s="20"/>
      <c r="V30" s="20"/>
      <c r="W30" s="20"/>
      <c r="X30" s="20"/>
      <c r="Y30" s="20"/>
      <c r="Z30" s="20"/>
      <c r="AA30" s="20"/>
    </row>
    <row r="31" spans="1:27" s="15" customFormat="1" ht="12.75" customHeight="1" x14ac:dyDescent="0.25">
      <c r="A31" s="590"/>
      <c r="D31" s="3"/>
      <c r="F31" s="3"/>
      <c r="G31" s="3"/>
      <c r="H31" s="3"/>
      <c r="I31" s="3"/>
      <c r="J31" s="3"/>
      <c r="K31" s="3"/>
      <c r="N31" s="19"/>
      <c r="O31" s="20"/>
      <c r="P31" s="20"/>
      <c r="Q31" s="20"/>
      <c r="R31" s="20"/>
      <c r="S31" s="20"/>
      <c r="T31" s="20"/>
      <c r="U31" s="20"/>
      <c r="V31" s="20"/>
      <c r="W31" s="20"/>
      <c r="X31" s="20"/>
      <c r="Y31" s="20"/>
      <c r="Z31" s="20"/>
      <c r="AA31" s="20"/>
    </row>
    <row r="32" spans="1:27" s="15" customFormat="1" ht="12.75" customHeight="1" x14ac:dyDescent="0.25">
      <c r="A32" s="6" t="s">
        <v>39</v>
      </c>
      <c r="B32" s="586" t="s">
        <v>40</v>
      </c>
      <c r="C32" s="586"/>
      <c r="D32" s="3"/>
      <c r="E32" s="6" t="s">
        <v>41</v>
      </c>
      <c r="F32" s="3"/>
      <c r="G32" s="3"/>
      <c r="H32" s="567" t="s">
        <v>42</v>
      </c>
      <c r="I32" s="485"/>
      <c r="J32" s="485"/>
      <c r="K32" s="3"/>
      <c r="L32" s="6" t="s">
        <v>43</v>
      </c>
      <c r="N32" s="19"/>
      <c r="O32" s="20"/>
      <c r="P32" s="20"/>
      <c r="Q32" s="20"/>
      <c r="R32" s="20"/>
      <c r="S32" s="20"/>
      <c r="T32" s="20"/>
      <c r="U32" s="20"/>
      <c r="V32" s="20"/>
      <c r="W32" s="20"/>
      <c r="X32" s="20"/>
      <c r="Y32" s="20"/>
      <c r="Z32" s="20"/>
      <c r="AA32" s="20"/>
    </row>
    <row r="33" spans="1:29" s="15" customFormat="1" ht="12.75" customHeight="1" x14ac:dyDescent="0.25">
      <c r="A33" s="6" t="str">
        <f>"Gegevens lening (maximaal "&amp;B11&amp;" jaar)"</f>
        <v>Gegevens lening (maximaal 15 jaar)</v>
      </c>
      <c r="B33" s="587" t="e">
        <f>L30</f>
        <v>#DIV/0!</v>
      </c>
      <c r="C33" s="588"/>
      <c r="D33" s="3"/>
      <c r="E33" s="80">
        <f>B11</f>
        <v>15</v>
      </c>
      <c r="F33" s="3"/>
      <c r="G33" s="3"/>
      <c r="H33" s="589"/>
      <c r="I33" s="485"/>
      <c r="J33" s="485"/>
      <c r="K33" s="3"/>
      <c r="L33" s="74">
        <v>0.06</v>
      </c>
      <c r="N33" s="19"/>
      <c r="O33" s="20"/>
      <c r="P33" s="20"/>
      <c r="Q33" s="20"/>
      <c r="R33" s="20"/>
      <c r="S33" s="20"/>
      <c r="T33" s="20"/>
      <c r="U33" s="20"/>
      <c r="V33" s="20"/>
      <c r="W33" s="20"/>
      <c r="X33" s="20"/>
      <c r="Y33" s="20"/>
      <c r="Z33" s="20"/>
      <c r="AA33" s="20"/>
    </row>
    <row r="34" spans="1:29" s="15" customFormat="1" ht="12.75" customHeight="1" x14ac:dyDescent="0.25">
      <c r="A34" s="18"/>
      <c r="D34" s="3"/>
      <c r="E34" s="3"/>
      <c r="F34" s="3"/>
      <c r="G34" s="3"/>
      <c r="H34" s="18"/>
      <c r="I34" s="3"/>
      <c r="J34" s="3"/>
      <c r="K34" s="3"/>
      <c r="N34" s="19"/>
      <c r="O34" s="20"/>
      <c r="P34" s="20"/>
      <c r="Q34" s="20"/>
      <c r="R34" s="20"/>
      <c r="S34" s="20"/>
      <c r="T34" s="20"/>
      <c r="U34" s="20"/>
      <c r="V34" s="20"/>
      <c r="W34" s="20"/>
      <c r="X34" s="20"/>
      <c r="Y34" s="20"/>
      <c r="Z34" s="20"/>
      <c r="AA34" s="20"/>
    </row>
    <row r="35" spans="1:29" ht="12.75" customHeight="1" x14ac:dyDescent="0.25">
      <c r="A35" s="15" t="s">
        <v>44</v>
      </c>
      <c r="D35" s="15"/>
      <c r="E35" s="15"/>
      <c r="F35" s="15"/>
      <c r="G35" s="15"/>
      <c r="H35" s="15"/>
      <c r="I35" s="15"/>
      <c r="J35" s="15"/>
      <c r="K35" s="15"/>
      <c r="L35" s="15"/>
      <c r="M35" s="15"/>
      <c r="N35" s="15">
        <v>0</v>
      </c>
      <c r="O35" s="15">
        <v>1</v>
      </c>
      <c r="P35" s="15">
        <v>2</v>
      </c>
      <c r="Q35" s="15">
        <v>3</v>
      </c>
      <c r="R35" s="15">
        <v>4</v>
      </c>
      <c r="S35" s="15">
        <v>5</v>
      </c>
      <c r="T35" s="15">
        <f>IF($B$11&gt;5,6,"")</f>
        <v>6</v>
      </c>
      <c r="U35" s="15">
        <f>IF($B$11&gt;6,7,"")</f>
        <v>7</v>
      </c>
      <c r="V35" s="15">
        <f>IF($B$11&gt;7,8,"")</f>
        <v>8</v>
      </c>
      <c r="W35" s="15">
        <f>IF($B$11&gt;8,9,"")</f>
        <v>9</v>
      </c>
      <c r="X35" s="15">
        <f>IF($B$11&gt;9,10,"")</f>
        <v>10</v>
      </c>
      <c r="Y35" s="15">
        <f>IF($B$11&gt;10,11,"")</f>
        <v>11</v>
      </c>
      <c r="Z35" s="15">
        <f>IF($B$11&gt;11,12,"")</f>
        <v>12</v>
      </c>
      <c r="AA35" s="15">
        <f>IF($B$11&gt;12,13,"")</f>
        <v>13</v>
      </c>
      <c r="AB35" s="15">
        <f>IF($B$11&gt;13,14,"")</f>
        <v>14</v>
      </c>
      <c r="AC35" s="15">
        <f>IF($B$11&gt;14,15,"")</f>
        <v>15</v>
      </c>
    </row>
    <row r="36" spans="1:29" ht="12.75" customHeight="1" x14ac:dyDescent="0.25">
      <c r="M36" s="230"/>
      <c r="N36" s="231"/>
      <c r="O36" s="234"/>
      <c r="P36" s="234"/>
      <c r="Q36" s="234"/>
      <c r="R36" s="234"/>
      <c r="S36" s="234"/>
      <c r="T36" s="234"/>
      <c r="U36" s="234"/>
      <c r="V36" s="9"/>
      <c r="W36" s="9"/>
      <c r="X36" s="9"/>
      <c r="Y36" s="9"/>
      <c r="Z36" s="9"/>
      <c r="AA36" s="6"/>
      <c r="AB36" s="6"/>
      <c r="AC36" s="6"/>
    </row>
    <row r="37" spans="1:29" ht="18" x14ac:dyDescent="0.25">
      <c r="A37" s="13" t="s">
        <v>45</v>
      </c>
      <c r="L37" s="554" t="s">
        <v>46</v>
      </c>
      <c r="M37" s="230"/>
      <c r="N37" s="230"/>
      <c r="O37" s="234"/>
      <c r="P37" s="234"/>
      <c r="Q37" s="234"/>
      <c r="R37" s="234"/>
      <c r="S37" s="234"/>
      <c r="T37" s="234"/>
      <c r="U37" s="234"/>
      <c r="V37" s="9"/>
      <c r="W37" s="9"/>
      <c r="X37" s="9"/>
      <c r="Y37" s="9"/>
      <c r="Z37" s="9"/>
      <c r="AA37" s="6"/>
      <c r="AB37" s="6"/>
      <c r="AC37" s="6"/>
    </row>
    <row r="38" spans="1:29" s="230" customFormat="1" ht="12.75" customHeight="1" x14ac:dyDescent="0.2">
      <c r="A38" s="15" t="s">
        <v>245</v>
      </c>
      <c r="B38" s="15"/>
      <c r="C38" s="15"/>
      <c r="E38" s="567" t="s">
        <v>262</v>
      </c>
      <c r="F38" s="568"/>
      <c r="G38" s="568"/>
      <c r="H38" s="569" t="s">
        <v>261</v>
      </c>
      <c r="I38" s="570"/>
      <c r="J38" s="570"/>
      <c r="K38" s="568"/>
      <c r="L38" s="566"/>
      <c r="O38" s="234"/>
      <c r="P38" s="234"/>
      <c r="Q38" s="234"/>
      <c r="R38" s="234"/>
      <c r="S38" s="234"/>
      <c r="T38" s="234"/>
      <c r="U38" s="234"/>
      <c r="V38" s="9"/>
      <c r="W38" s="9"/>
      <c r="X38" s="9"/>
      <c r="Y38" s="9"/>
      <c r="Z38" s="9"/>
      <c r="AA38" s="6"/>
      <c r="AB38" s="6"/>
      <c r="AC38" s="6"/>
    </row>
    <row r="39" spans="1:29" s="230" customFormat="1" ht="12.75" customHeight="1" x14ac:dyDescent="0.2">
      <c r="A39" s="6" t="s">
        <v>296</v>
      </c>
      <c r="B39" s="15"/>
      <c r="C39" s="15"/>
      <c r="E39" s="226">
        <f>Productie_en_afzet!B13</f>
        <v>0</v>
      </c>
      <c r="H39" s="560">
        <v>0</v>
      </c>
      <c r="I39" s="573"/>
      <c r="J39" s="574"/>
      <c r="L39" s="571">
        <v>0.02</v>
      </c>
      <c r="M39" s="6"/>
      <c r="O39" s="231">
        <f>E39*H39</f>
        <v>0</v>
      </c>
      <c r="P39" s="231">
        <f>O39*(1+$L$39)</f>
        <v>0</v>
      </c>
      <c r="Q39" s="231">
        <f t="shared" ref="Q39:S39" si="0">P39*(1+$L$39)</f>
        <v>0</v>
      </c>
      <c r="R39" s="231">
        <f t="shared" si="0"/>
        <v>0</v>
      </c>
      <c r="S39" s="231">
        <f t="shared" si="0"/>
        <v>0</v>
      </c>
      <c r="T39" s="23">
        <f>IF($B$11&gt;5,IF($B$10&gt;5,S39*(1+$L$39),0),"")</f>
        <v>0</v>
      </c>
      <c r="U39" s="23">
        <f>IF($B$11&gt;6,IF($B$10&gt;6,T39*(1+$L$39),0),"")</f>
        <v>0</v>
      </c>
      <c r="V39" s="23">
        <f>IF($B$11&gt;7,IF($B$10&gt;7,U39*(1+$L$39),0),"")</f>
        <v>0</v>
      </c>
      <c r="W39" s="23">
        <f>IF($B$11&gt;8,IF($B$10&gt;8,V39*(1+$L$39),0),"")</f>
        <v>0</v>
      </c>
      <c r="X39" s="23">
        <f>IF($B$11&gt;9,IF($B$10&gt;9,W39*(1+$L$39),0),"")</f>
        <v>0</v>
      </c>
      <c r="Y39" s="23">
        <f>IF($B$11&gt;10,IF($B$10&gt;10,X39*(1+$L$39),0),"")</f>
        <v>0</v>
      </c>
      <c r="Z39" s="23">
        <f>IF($B$11&gt;11,IF($B$10&gt;11,Y39*(1+$L$39),0),"")</f>
        <v>0</v>
      </c>
      <c r="AA39" s="23">
        <f>IF($B$11&gt;12,IF($B$10&gt;12,Z39*(1+$L$39),0),"")</f>
        <v>0</v>
      </c>
      <c r="AB39" s="23">
        <f>IF($B$11&gt;13,IF($B$10&gt;13,AA39*(1+$L$39),0),"")</f>
        <v>0</v>
      </c>
      <c r="AC39" s="23">
        <f>IF($B$11&gt;14,IF($B$10&gt;14,AB39*(1+$L$39),0),"")</f>
        <v>0</v>
      </c>
    </row>
    <row r="40" spans="1:29" s="230" customFormat="1" ht="12.75" customHeight="1" x14ac:dyDescent="0.2">
      <c r="A40" s="6" t="s">
        <v>300</v>
      </c>
      <c r="B40" s="15"/>
      <c r="C40" s="15"/>
      <c r="E40" s="264">
        <f>'Proj.gegevens_invest.begroting'!D29</f>
        <v>0</v>
      </c>
      <c r="H40" s="575"/>
      <c r="I40" s="576"/>
      <c r="J40" s="577"/>
      <c r="L40" s="584"/>
      <c r="M40" s="6"/>
      <c r="O40" s="231">
        <v>0</v>
      </c>
      <c r="P40" s="231">
        <v>0</v>
      </c>
      <c r="Q40" s="231">
        <v>0</v>
      </c>
      <c r="R40" s="231">
        <v>0</v>
      </c>
      <c r="S40" s="231">
        <v>0</v>
      </c>
      <c r="T40" s="23">
        <f>IF($B$11&gt;5,IF($B$10&gt;5,0,$E$40*$H$39*POWER(1+$L$39,5)),"")</f>
        <v>0</v>
      </c>
      <c r="U40" s="23">
        <f>IF($B$11&gt;6,IF($B$10&gt;6,0,$E$40*$H$39*POWER(1+$L$39,6)),"")</f>
        <v>0</v>
      </c>
      <c r="V40" s="23">
        <f>IF($B$11&gt;7,IF($B$10&gt;7,0,$E$40*$H$39*POWER(1+$L$39,7)),"")</f>
        <v>0</v>
      </c>
      <c r="W40" s="23">
        <f>IF($B$11&gt;8,IF($B$10&gt;8,0,$E$40*$H$39*POWER(1+$L$39,8)),"")</f>
        <v>0</v>
      </c>
      <c r="X40" s="23">
        <f>IF($B$11&gt;9,IF($B$10&gt;9,0,$E$40*$H$39*POWER(1+$L$39,9)),"")</f>
        <v>0</v>
      </c>
      <c r="Y40" s="23">
        <f>IF($B$11&gt;10,IF($B$10&gt;10,0,$E$40*$H$39*POWER(1+$L$39,10)),"")</f>
        <v>0</v>
      </c>
      <c r="Z40" s="23">
        <f>IF($B$11&gt;11,IF($B$10&gt;11,0,$E$40*$H$39*POWER(1+$L$39,11)),"")</f>
        <v>0</v>
      </c>
      <c r="AA40" s="23">
        <f>IF($B$11&gt;12,IF($B$10&gt;12,0,$E$40*$H$39*POWER(1+$L$39,12)),"")</f>
        <v>0</v>
      </c>
      <c r="AB40" s="23">
        <f>IF($B$11&gt;13,IF($B$10&gt;13,0,$E$40*$H$39*POWER(1+$L$39,13)),"")</f>
        <v>0</v>
      </c>
      <c r="AC40" s="23">
        <f>IF($B$11&gt;14,IF($B$10&gt;14,0,$E$40*$H$39*POWER(1+$L$39,14)),"")</f>
        <v>0</v>
      </c>
    </row>
    <row r="41" spans="1:29" s="230" customFormat="1" ht="12.75" customHeight="1" x14ac:dyDescent="0.2">
      <c r="A41" s="6" t="s">
        <v>312</v>
      </c>
      <c r="B41" s="15"/>
      <c r="C41" s="15"/>
      <c r="E41" s="264">
        <f>Productie_en_afzet!B15</f>
        <v>0</v>
      </c>
      <c r="H41" s="578">
        <v>0</v>
      </c>
      <c r="I41" s="579"/>
      <c r="J41" s="580"/>
      <c r="L41" s="585">
        <v>0.02</v>
      </c>
      <c r="M41" s="6"/>
      <c r="O41" s="231">
        <f>E41*H41</f>
        <v>0</v>
      </c>
      <c r="P41" s="231">
        <f>O41*(1+$L$41)</f>
        <v>0</v>
      </c>
      <c r="Q41" s="231">
        <f>P41*(1+$L$41)</f>
        <v>0</v>
      </c>
      <c r="R41" s="231">
        <f>Q41*(1+$L$41)</f>
        <v>0</v>
      </c>
      <c r="S41" s="231">
        <f>R41*(1+$L$41)</f>
        <v>0</v>
      </c>
      <c r="T41" s="23">
        <f>IF($B$11&gt;5,IF($B$10&gt;5,S41*(1+$L$41),0),"")</f>
        <v>0</v>
      </c>
      <c r="U41" s="23">
        <f>IF($B$11&gt;6,IF($B$10&gt;6,T41*(1+$L$41),0),"")</f>
        <v>0</v>
      </c>
      <c r="V41" s="23">
        <f>IF($B$11&gt;7,IF($B$10&gt;7,U41*(1+$L$41),0),"")</f>
        <v>0</v>
      </c>
      <c r="W41" s="23">
        <f>IF($B$11&gt;8,IF($B$10&gt;8,V41*(1+$L$41),0),"")</f>
        <v>0</v>
      </c>
      <c r="X41" s="23">
        <f>IF($B$11&gt;9,IF($B$10&gt;9,W41*(1+$L$41),0),"")</f>
        <v>0</v>
      </c>
      <c r="Y41" s="23">
        <f>IF($B$11&gt;10,IF($B$10&gt;10,X41*(1+$L$41),0),"")</f>
        <v>0</v>
      </c>
      <c r="Z41" s="23">
        <f>IF($B$11&gt;11,IF($B$10&gt;11,Y41*(1+$L$41),0),"")</f>
        <v>0</v>
      </c>
      <c r="AA41" s="23">
        <f>IF($B$11&gt;12,IF($B$10&gt;12,Z41*(1+$L$41),0),"")</f>
        <v>0</v>
      </c>
      <c r="AB41" s="23">
        <f>IF($B$11&gt;13,IF($B$10&gt;13,AA41*(1+$L$41),0),"")</f>
        <v>0</v>
      </c>
      <c r="AC41" s="23">
        <f>IF($B$11&gt;14,IF($B$10&gt;14,AB41*(1+$L$41),0),"")</f>
        <v>0</v>
      </c>
    </row>
    <row r="42" spans="1:29" s="230" customFormat="1" ht="12.75" customHeight="1" x14ac:dyDescent="0.2">
      <c r="A42" s="6" t="s">
        <v>313</v>
      </c>
      <c r="B42" s="15"/>
      <c r="C42" s="15"/>
      <c r="E42" s="227">
        <f>'Proj.gegevens_invest.begroting'!D34</f>
        <v>0</v>
      </c>
      <c r="H42" s="581"/>
      <c r="I42" s="582"/>
      <c r="J42" s="583"/>
      <c r="L42" s="584"/>
      <c r="M42" s="6"/>
      <c r="O42" s="231">
        <v>0</v>
      </c>
      <c r="P42" s="231">
        <v>0</v>
      </c>
      <c r="Q42" s="231">
        <v>0</v>
      </c>
      <c r="R42" s="231">
        <v>0</v>
      </c>
      <c r="S42" s="231">
        <v>0</v>
      </c>
      <c r="T42" s="23">
        <f>IF($B$11&gt;5,IF($B$10&gt;5,0,$E$42*$H$41*POWER(1+$L$41,5)),"")</f>
        <v>0</v>
      </c>
      <c r="U42" s="23">
        <f>IF($B$11&gt;6,IF($B$10&gt;6,0,$E$42*$H$41*POWER(1+$L$41,6)),"")</f>
        <v>0</v>
      </c>
      <c r="V42" s="23">
        <f>IF($B$11&gt;7,IF($B$10&gt;7,0,$E$42*$H$41*POWER(1+$L$41,7)),"")</f>
        <v>0</v>
      </c>
      <c r="W42" s="23">
        <f>IF($B$11&gt;8,IF($B$10&gt;8,0,$E$42*$H$41*POWER(1+$L$41,8)),"")</f>
        <v>0</v>
      </c>
      <c r="X42" s="23">
        <f>IF($B$11&gt;9,IF($B$10&gt;9,0,$E$42*$H$41*POWER(1+$L$41,9)),"")</f>
        <v>0</v>
      </c>
      <c r="Y42" s="23">
        <f>IF($B$11&gt;10,IF($B$10&gt;10,0,$E$42*$H$41*POWER(1+$L$41,10)),"")</f>
        <v>0</v>
      </c>
      <c r="Z42" s="23">
        <f>IF($B$11&gt;11,IF($B$10&gt;11,0,$E$42*$H$41*POWER(1+$L$41,11)),"")</f>
        <v>0</v>
      </c>
      <c r="AA42" s="23">
        <f>IF($B$11&gt;12,IF($B$10&gt;12,0,$E$42*$H$41*POWER(1+$L$41,12)),"")</f>
        <v>0</v>
      </c>
      <c r="AB42" s="23">
        <f>IF($B$11&gt;13,IF($B$10&gt;13,0,$E$42*$H$41*POWER(1+$L$41,13)),"")</f>
        <v>0</v>
      </c>
      <c r="AC42" s="23">
        <f>IF($B$11&gt;14,IF($B$10&gt;14,0,$E$42*$H$41*POWER(1+$L$41,14)),"")</f>
        <v>0</v>
      </c>
    </row>
    <row r="43" spans="1:29" s="230" customFormat="1" ht="12.75" customHeight="1" x14ac:dyDescent="0.2">
      <c r="A43" s="6" t="s">
        <v>314</v>
      </c>
      <c r="B43" s="15"/>
      <c r="C43" s="15"/>
      <c r="E43" s="264">
        <f>'Proj.gegevens_invest.begroting'!D20</f>
        <v>0</v>
      </c>
      <c r="H43" s="560">
        <v>0</v>
      </c>
      <c r="I43" s="561"/>
      <c r="J43" s="562"/>
      <c r="L43" s="571">
        <v>0.02</v>
      </c>
      <c r="M43" s="6"/>
      <c r="O43" s="231">
        <f>E43*H43</f>
        <v>0</v>
      </c>
      <c r="P43" s="231">
        <f>O43*(1+$L$43)</f>
        <v>0</v>
      </c>
      <c r="Q43" s="231">
        <f t="shared" ref="Q43:S43" si="1">P43*(1+$L$43)</f>
        <v>0</v>
      </c>
      <c r="R43" s="231">
        <f t="shared" si="1"/>
        <v>0</v>
      </c>
      <c r="S43" s="231">
        <f t="shared" si="1"/>
        <v>0</v>
      </c>
      <c r="T43" s="23">
        <f>IF($B$11&gt;5,IF($B$10&gt;5,S43*(1+$L$43),0),"")</f>
        <v>0</v>
      </c>
      <c r="U43" s="23">
        <f>IF($B$11&gt;6,IF($B$10&gt;6,T43*(1+$L$43),0),"")</f>
        <v>0</v>
      </c>
      <c r="V43" s="23">
        <f>IF($B$11&gt;7,IF($B$10&gt;7,U43*(1+$L$43),0),"")</f>
        <v>0</v>
      </c>
      <c r="W43" s="23">
        <f>IF($B$11&gt;8,IF($B$10&gt;8,V43*(1+$L$43),0),"")</f>
        <v>0</v>
      </c>
      <c r="X43" s="23">
        <f>IF($B$11&gt;9,IF($B$10&gt;9,W43*(1+$L$43),0),"")</f>
        <v>0</v>
      </c>
      <c r="Y43" s="23">
        <f>IF($B$11&gt;10,IF($B$10&gt;10,X43*(1+$L$43),0),"")</f>
        <v>0</v>
      </c>
      <c r="Z43" s="23">
        <f>IF($B$11&gt;11,IF($B$10&gt;11,Y43*(1+$L$43),0),"")</f>
        <v>0</v>
      </c>
      <c r="AA43" s="23">
        <f>IF($B$11&gt;12,IF($B$10&gt;12,Z43*(1+$L$43),0),"")</f>
        <v>0</v>
      </c>
      <c r="AB43" s="23">
        <f>IF($B$11&gt;13,IF($B$10&gt;13,AA43*(1+$L$43),0),"")</f>
        <v>0</v>
      </c>
      <c r="AC43" s="23">
        <f>IF($B$11&gt;14,IF($B$10&gt;14,AB43*(1+$L$43),0),"")</f>
        <v>0</v>
      </c>
    </row>
    <row r="44" spans="1:29" s="230" customFormat="1" ht="12.75" customHeight="1" x14ac:dyDescent="0.2">
      <c r="A44" s="6" t="s">
        <v>315</v>
      </c>
      <c r="B44" s="15"/>
      <c r="C44" s="15"/>
      <c r="E44" s="309">
        <f>'Proj.gegevens_invest.begroting'!D30</f>
        <v>0</v>
      </c>
      <c r="H44" s="563"/>
      <c r="I44" s="564"/>
      <c r="J44" s="565"/>
      <c r="L44" s="572"/>
      <c r="M44" s="6"/>
      <c r="O44" s="231">
        <v>0</v>
      </c>
      <c r="P44" s="231">
        <v>0</v>
      </c>
      <c r="Q44" s="231">
        <v>0</v>
      </c>
      <c r="R44" s="231">
        <v>0</v>
      </c>
      <c r="S44" s="231">
        <v>0</v>
      </c>
      <c r="T44" s="23">
        <f>IF($B$11&gt;5,IF($B$10&gt;5,0,$E$44*$H$43*POWER(1+$L$43,5)),"")</f>
        <v>0</v>
      </c>
      <c r="U44" s="23">
        <f>IF($B$11&gt;6,IF($B$10&gt;6,0,$E$44*$H$43*POWER(1+$L$43,6)),"")</f>
        <v>0</v>
      </c>
      <c r="V44" s="23">
        <f>IF($B$11&gt;7,IF($B$10&gt;7,0,$E$44*$H$43*POWER(1+$L$43,7)),"")</f>
        <v>0</v>
      </c>
      <c r="W44" s="23">
        <f>IF($B$11&gt;8,IF($B$10&gt;8,0,$E$44*$H$43*POWER(1+$L$43,8)),"")</f>
        <v>0</v>
      </c>
      <c r="X44" s="23">
        <f>IF($B$11&gt;9,IF($B$10&gt;9,0,$E$44*$H$43*POWER(1+$L$43,9)),"")</f>
        <v>0</v>
      </c>
      <c r="Y44" s="23">
        <f>IF($B$11&gt;10,IF($B$10&gt;10,0,$E$44*$H$43*POWER(1+$L$43,10)),"")</f>
        <v>0</v>
      </c>
      <c r="Z44" s="23">
        <f>IF($B$11&gt;11,IF($B$10&gt;11,0,$E$44*$H$43*POWER(1+$L$43,11)),"")</f>
        <v>0</v>
      </c>
      <c r="AA44" s="23">
        <f>IF($B$11&gt;12,IF($B$10&gt;12,0,$E$44*$H$43*POWER(1+$L$43,12)),"")</f>
        <v>0</v>
      </c>
      <c r="AB44" s="23">
        <f>IF($B$11&gt;13,IF($B$10&gt;13,0,$E$44*$H$43*POWER(1+$L$43,13)),"")</f>
        <v>0</v>
      </c>
      <c r="AC44" s="23">
        <f>IF($B$11&gt;14,IF($B$10&gt;14,0,$E$44*$H$43*POWER(1+$L$43,14)),"")</f>
        <v>0</v>
      </c>
    </row>
    <row r="45" spans="1:29" s="230" customFormat="1" ht="12.75" customHeight="1" x14ac:dyDescent="0.2">
      <c r="A45" s="6"/>
      <c r="B45" s="15"/>
      <c r="C45" s="15"/>
      <c r="E45" s="87"/>
      <c r="H45" s="310"/>
      <c r="I45" s="310"/>
      <c r="J45" s="310"/>
      <c r="L45" s="311"/>
      <c r="M45" s="6"/>
      <c r="O45" s="231"/>
      <c r="P45" s="231"/>
      <c r="Q45" s="231"/>
      <c r="R45" s="231"/>
      <c r="S45" s="231"/>
      <c r="T45" s="231"/>
      <c r="U45" s="231"/>
      <c r="V45" s="23"/>
      <c r="W45" s="23"/>
      <c r="X45" s="23"/>
      <c r="Y45" s="23"/>
      <c r="Z45" s="23"/>
      <c r="AA45" s="23"/>
      <c r="AB45" s="23"/>
      <c r="AC45" s="23"/>
    </row>
    <row r="46" spans="1:29" s="230" customFormat="1" ht="12.75" customHeight="1" x14ac:dyDescent="0.2">
      <c r="A46" s="15" t="s">
        <v>244</v>
      </c>
      <c r="B46" s="15"/>
      <c r="C46" s="15"/>
      <c r="L46" s="266"/>
      <c r="O46" s="19">
        <f>SUM(O39:O44)</f>
        <v>0</v>
      </c>
      <c r="P46" s="19">
        <f>SUM(P39:P44)</f>
        <v>0</v>
      </c>
      <c r="Q46" s="19">
        <f>SUM(Q39:Q44)</f>
        <v>0</v>
      </c>
      <c r="R46" s="19">
        <f>SUM(R39:R44)</f>
        <v>0</v>
      </c>
      <c r="S46" s="19">
        <f>SUM(S39:S44)</f>
        <v>0</v>
      </c>
      <c r="T46" s="19">
        <f>IF($B$11&gt;5,SUM(T39:T44),"")</f>
        <v>0</v>
      </c>
      <c r="U46" s="19">
        <f>IF($B$11&gt;6,SUM(U39:U44),"")</f>
        <v>0</v>
      </c>
      <c r="V46" s="19">
        <f>IF($B$11&gt;7,SUM(V39:V44),"")</f>
        <v>0</v>
      </c>
      <c r="W46" s="19">
        <f>IF($B$11&gt;8,SUM(W39:W44),"")</f>
        <v>0</v>
      </c>
      <c r="X46" s="19">
        <f>IF($B$11&gt;9,SUM(X39:X44),"")</f>
        <v>0</v>
      </c>
      <c r="Y46" s="19">
        <f>IF($B$11&gt;10,SUM(Y39:Y44),"")</f>
        <v>0</v>
      </c>
      <c r="Z46" s="19">
        <f>IF($B$11&gt;11,SUM(Z39:Z44),"")</f>
        <v>0</v>
      </c>
      <c r="AA46" s="19">
        <f>IF($B$11&gt;12,SUM(AA39:AA44),"")</f>
        <v>0</v>
      </c>
      <c r="AB46" s="19">
        <f>IF($B$11&gt;13,SUM(AB39:AB44),"")</f>
        <v>0</v>
      </c>
      <c r="AC46" s="19">
        <f>IF($B$11&gt;14,SUM(AC39:AC44),"")</f>
        <v>0</v>
      </c>
    </row>
    <row r="47" spans="1:29" s="230" customFormat="1" ht="30.75" customHeight="1" x14ac:dyDescent="0.2">
      <c r="B47" s="18"/>
      <c r="C47" s="18"/>
      <c r="E47" s="552" t="s">
        <v>232</v>
      </c>
      <c r="H47" s="554"/>
      <c r="I47" s="552"/>
      <c r="J47" s="552"/>
      <c r="L47" s="554"/>
      <c r="O47" s="234"/>
      <c r="P47" s="234"/>
      <c r="Q47" s="234"/>
      <c r="R47" s="234"/>
      <c r="S47" s="234"/>
      <c r="T47" s="234"/>
      <c r="U47" s="234"/>
      <c r="V47" s="234"/>
      <c r="W47" s="265"/>
      <c r="X47" s="265"/>
      <c r="Y47" s="265"/>
      <c r="Z47" s="265"/>
    </row>
    <row r="48" spans="1:29" s="230" customFormat="1" ht="12.75" customHeight="1" x14ac:dyDescent="0.2">
      <c r="A48" s="15" t="s">
        <v>246</v>
      </c>
      <c r="B48" s="18"/>
      <c r="C48" s="18"/>
      <c r="E48" s="553"/>
      <c r="H48" s="552"/>
      <c r="I48" s="552"/>
      <c r="J48" s="552"/>
      <c r="L48" s="552"/>
      <c r="O48" s="234"/>
      <c r="P48" s="234"/>
      <c r="Q48" s="234"/>
      <c r="R48" s="234"/>
      <c r="S48" s="234"/>
      <c r="T48" s="234"/>
      <c r="U48" s="234"/>
      <c r="V48" s="234"/>
      <c r="W48" s="265"/>
      <c r="X48" s="265"/>
      <c r="Y48" s="265"/>
      <c r="Z48" s="265"/>
    </row>
    <row r="49" spans="1:29" s="230" customFormat="1" ht="12.75" customHeight="1" x14ac:dyDescent="0.2">
      <c r="A49" s="6"/>
      <c r="B49" s="558"/>
      <c r="C49" s="543"/>
      <c r="D49" s="267"/>
      <c r="E49" s="235">
        <f>Productie_en_afzet!B29</f>
        <v>0</v>
      </c>
      <c r="H49" s="559"/>
      <c r="I49" s="544"/>
      <c r="J49" s="544"/>
      <c r="L49" s="266"/>
      <c r="M49" s="540"/>
      <c r="N49" s="541"/>
      <c r="O49" s="231"/>
      <c r="P49" s="231"/>
      <c r="Q49" s="231"/>
      <c r="R49" s="231"/>
      <c r="S49" s="231"/>
      <c r="T49" s="231"/>
      <c r="U49" s="231"/>
      <c r="V49" s="231"/>
      <c r="W49" s="23"/>
      <c r="X49" s="23"/>
      <c r="Y49" s="23"/>
      <c r="Z49" s="23"/>
      <c r="AA49" s="23"/>
      <c r="AB49" s="23"/>
      <c r="AC49" s="23"/>
    </row>
    <row r="50" spans="1:29" s="230" customFormat="1" ht="12.75" customHeight="1" x14ac:dyDescent="0.2">
      <c r="A50" s="6"/>
      <c r="B50" s="542"/>
      <c r="C50" s="543"/>
      <c r="D50" s="267"/>
      <c r="E50" s="242"/>
      <c r="F50" s="6"/>
      <c r="H50" s="544"/>
      <c r="I50" s="544"/>
      <c r="J50" s="544"/>
      <c r="L50" s="266"/>
      <c r="M50" s="268"/>
      <c r="N50" s="267"/>
      <c r="O50" s="23"/>
      <c r="P50" s="23"/>
      <c r="Q50" s="23"/>
      <c r="R50" s="23"/>
      <c r="S50" s="23"/>
      <c r="T50" s="23"/>
      <c r="U50" s="23"/>
      <c r="V50" s="23"/>
      <c r="W50" s="23"/>
      <c r="X50" s="23"/>
      <c r="Y50" s="23"/>
      <c r="Z50" s="23"/>
      <c r="AA50" s="23"/>
      <c r="AB50" s="23"/>
      <c r="AC50" s="23"/>
    </row>
    <row r="51" spans="1:29" s="230" customFormat="1" ht="12.75" customHeight="1" x14ac:dyDescent="0.2">
      <c r="A51" s="6"/>
      <c r="B51" s="269"/>
      <c r="C51" s="18"/>
      <c r="D51" s="267"/>
      <c r="E51" s="242"/>
      <c r="F51" s="6"/>
      <c r="H51" s="270"/>
      <c r="I51" s="270"/>
      <c r="J51" s="270"/>
      <c r="L51" s="266"/>
      <c r="M51" s="268"/>
      <c r="N51" s="267"/>
      <c r="O51" s="23"/>
      <c r="P51" s="23"/>
      <c r="Q51" s="23"/>
      <c r="R51" s="23"/>
      <c r="S51" s="23"/>
      <c r="T51" s="23"/>
      <c r="U51" s="23"/>
      <c r="V51" s="23"/>
      <c r="W51" s="23"/>
      <c r="X51" s="23"/>
      <c r="Y51" s="23"/>
      <c r="Z51" s="23"/>
      <c r="AA51" s="23"/>
      <c r="AB51" s="23"/>
      <c r="AC51" s="23"/>
    </row>
    <row r="52" spans="1:29" s="230" customFormat="1" ht="12.75" customHeight="1" x14ac:dyDescent="0.2">
      <c r="A52" s="6" t="s">
        <v>334</v>
      </c>
      <c r="C52" s="6"/>
      <c r="D52" s="267"/>
      <c r="E52" s="271">
        <f>'Proj.gegevens_invest.begroting'!D40</f>
        <v>0</v>
      </c>
      <c r="H52" s="552" t="s">
        <v>247</v>
      </c>
      <c r="I52" s="552"/>
      <c r="J52" s="552"/>
      <c r="L52" s="554" t="s">
        <v>47</v>
      </c>
      <c r="M52" s="268"/>
      <c r="N52" s="267"/>
      <c r="O52" s="23"/>
      <c r="P52" s="23"/>
      <c r="Q52" s="23"/>
      <c r="R52" s="23"/>
      <c r="S52" s="23"/>
      <c r="T52" s="23"/>
      <c r="U52" s="23"/>
      <c r="V52" s="23"/>
      <c r="W52" s="23"/>
      <c r="X52" s="23"/>
      <c r="Y52" s="23"/>
      <c r="Z52" s="23"/>
      <c r="AA52" s="23"/>
      <c r="AB52" s="23"/>
      <c r="AC52" s="23"/>
    </row>
    <row r="53" spans="1:29" s="230" customFormat="1" ht="12.75" customHeight="1" x14ac:dyDescent="0.2">
      <c r="A53" s="6"/>
      <c r="C53" s="6"/>
      <c r="D53" s="267"/>
      <c r="E53" s="270"/>
      <c r="H53" s="552"/>
      <c r="I53" s="552"/>
      <c r="J53" s="552"/>
      <c r="L53" s="554"/>
      <c r="M53" s="268"/>
      <c r="N53" s="267"/>
      <c r="O53" s="23"/>
      <c r="P53" s="23"/>
      <c r="Q53" s="23"/>
      <c r="R53" s="23"/>
      <c r="S53" s="23"/>
      <c r="T53" s="23"/>
      <c r="U53" s="23"/>
      <c r="V53" s="23"/>
      <c r="W53" s="23"/>
      <c r="X53" s="23"/>
      <c r="Y53" s="23"/>
      <c r="Z53" s="23"/>
      <c r="AA53" s="23"/>
      <c r="AB53" s="23"/>
      <c r="AC53" s="23"/>
    </row>
    <row r="54" spans="1:29" s="230" customFormat="1" ht="26.25" customHeight="1" x14ac:dyDescent="0.2">
      <c r="B54" s="242"/>
      <c r="C54" s="6"/>
      <c r="D54" s="267"/>
      <c r="H54" s="553"/>
      <c r="I54" s="553"/>
      <c r="J54" s="553"/>
      <c r="L54" s="552"/>
      <c r="M54" s="268"/>
      <c r="N54" s="267"/>
      <c r="O54" s="23"/>
      <c r="P54" s="23"/>
      <c r="Q54" s="23"/>
      <c r="R54" s="23"/>
      <c r="S54" s="23"/>
      <c r="T54" s="23"/>
      <c r="U54" s="23"/>
      <c r="V54" s="23"/>
      <c r="W54" s="23"/>
      <c r="X54" s="23"/>
      <c r="Y54" s="23"/>
      <c r="Z54" s="23"/>
      <c r="AA54" s="23"/>
      <c r="AB54" s="23"/>
      <c r="AC54" s="23"/>
    </row>
    <row r="55" spans="1:29" s="230" customFormat="1" ht="12.75" customHeight="1" x14ac:dyDescent="0.2">
      <c r="A55" s="6" t="s">
        <v>247</v>
      </c>
      <c r="B55" s="242"/>
      <c r="C55" s="6"/>
      <c r="D55" s="267"/>
      <c r="H55" s="555">
        <v>3.8151999999999999</v>
      </c>
      <c r="I55" s="556"/>
      <c r="J55" s="557"/>
      <c r="L55" s="81">
        <v>0.02</v>
      </c>
      <c r="M55" s="268"/>
      <c r="N55" s="267"/>
      <c r="O55" s="272">
        <f>H55</f>
        <v>3.8151999999999999</v>
      </c>
      <c r="P55" s="272">
        <f>O55*(1+$L$55)</f>
        <v>3.8915039999999999</v>
      </c>
      <c r="Q55" s="272">
        <f t="shared" ref="Q55:S55" si="2">P55*(1+$L$55)</f>
        <v>3.9693340799999999</v>
      </c>
      <c r="R55" s="272">
        <f t="shared" si="2"/>
        <v>4.0487207616000003</v>
      </c>
      <c r="S55" s="272">
        <f t="shared" si="2"/>
        <v>4.1296951768320005</v>
      </c>
      <c r="T55" s="272">
        <f>IF($B$11&gt;5,IF($B$10&gt;5,S55*(1+$L$55),0),"")</f>
        <v>4.2122890803686408</v>
      </c>
      <c r="U55" s="272">
        <f>IF($B$11&gt;6,IF($B$10&gt;6,T55*(1+$L$55),0),"")</f>
        <v>4.2965348619760135</v>
      </c>
      <c r="V55" s="272">
        <f>IF($B$11&gt;7,IF($B$10&gt;7,U55*(1+$L$55),0),"")</f>
        <v>4.3824655592155342</v>
      </c>
      <c r="W55" s="272">
        <f>IF($B$11&gt;8,IF($B$10&gt;8,V55*(1+$L$55),0),"")</f>
        <v>4.4701148703998452</v>
      </c>
      <c r="X55" s="272">
        <f>IF($B$11&gt;9,IF($B$10&gt;9,W55*(1+$L$55),0),"")</f>
        <v>4.5595171678078419</v>
      </c>
      <c r="Y55" s="272">
        <f>IF($B$11&gt;10,IF($B$10&gt;10,X55*(1+$L$55),0),"")</f>
        <v>0</v>
      </c>
      <c r="Z55" s="272">
        <f>IF($B$11&gt;11,IF($B$10&gt;11,Y55*(1+$L$55),0),"")</f>
        <v>0</v>
      </c>
      <c r="AA55" s="272">
        <f>IF($B$11&gt;12,IF($B$10&gt;12,Z55*(1+$L$55),0),"")</f>
        <v>0</v>
      </c>
      <c r="AB55" s="272">
        <f>IF($B$11&gt;13,IF($B$10&gt;13,AA55*(1+$L$55),0),"")</f>
        <v>0</v>
      </c>
      <c r="AC55" s="272">
        <f>IF($B$11&gt;14,IF($B$10&gt;14,AB55*(1+$L$55),0),"")</f>
        <v>0</v>
      </c>
    </row>
    <row r="56" spans="1:29" s="230" customFormat="1" ht="12.75" customHeight="1" x14ac:dyDescent="0.2">
      <c r="A56" s="6" t="s">
        <v>248</v>
      </c>
      <c r="B56" s="242"/>
      <c r="C56" s="6"/>
      <c r="D56" s="267"/>
      <c r="H56" s="273"/>
      <c r="I56" s="273"/>
      <c r="J56" s="273"/>
      <c r="L56" s="274"/>
      <c r="M56" s="268"/>
      <c r="N56" s="267"/>
      <c r="O56" s="272">
        <f t="shared" ref="O56:S56" si="3">IF($E$52-O55&gt;0,$E$52-O55,0)</f>
        <v>0</v>
      </c>
      <c r="P56" s="272">
        <f t="shared" si="3"/>
        <v>0</v>
      </c>
      <c r="Q56" s="272">
        <f t="shared" si="3"/>
        <v>0</v>
      </c>
      <c r="R56" s="272">
        <f t="shared" si="3"/>
        <v>0</v>
      </c>
      <c r="S56" s="272">
        <f t="shared" si="3"/>
        <v>0</v>
      </c>
      <c r="T56" s="272">
        <f>IF($B$11&gt;5,IF($B$10&gt;5,IF($E$52-T55&gt;0,$E$52-T55,0),0),"")</f>
        <v>0</v>
      </c>
      <c r="U56" s="272">
        <f>IF($B$11&gt;6,IF($B$10&gt;6,IF($E$52-U55&gt;0,$E$52-U55,0),0),"")</f>
        <v>0</v>
      </c>
      <c r="V56" s="272">
        <f>IF($B$11&gt;7,IF($B$10&gt;7,IF($E$52-V55&gt;0,$E$52-V55,0),0),"")</f>
        <v>0</v>
      </c>
      <c r="W56" s="272">
        <f>IF($B$11&gt;8,IF($B$10&gt;8,IF($E$52-W55&gt;0,$E$52-W55,0),0),"")</f>
        <v>0</v>
      </c>
      <c r="X56" s="272">
        <f>IF($B$11&gt;9,IF($B$10&gt;9,IF($E$52-X55&gt;0,$E$52-X55,0),0),"")</f>
        <v>0</v>
      </c>
      <c r="Y56" s="272">
        <f>IF($B$11&gt;10,IF($B$10&gt;10,IF($E$52-Y55&gt;0,$E$52-Y55,0),0),"")</f>
        <v>0</v>
      </c>
      <c r="Z56" s="272">
        <f>IF($B$11&gt;11,IF($B$10&gt;11,IF($E$52-Z55&gt;0,$E$52-Z55,0),0),"")</f>
        <v>0</v>
      </c>
      <c r="AA56" s="272">
        <f>IF($B$11&gt;12,IF($B$10&gt;12,IF($E$52-AA55&gt;0,$E$52-AA55,0),0),"")</f>
        <v>0</v>
      </c>
      <c r="AB56" s="272">
        <f>IF($B$11&gt;13,IF($B$10&gt;13,IF($E$52-AB55&gt;0,$E$52-AB55,0),0),"")</f>
        <v>0</v>
      </c>
      <c r="AC56" s="272">
        <f>IF($B$11&gt;14,IF($B$10&gt;14,IF($E$52-AC55&gt;0,$E$52-AC55,0),0),"")</f>
        <v>0</v>
      </c>
    </row>
    <row r="57" spans="1:29" s="230" customFormat="1" ht="12.75" customHeight="1" x14ac:dyDescent="0.2">
      <c r="A57" s="15" t="s">
        <v>249</v>
      </c>
      <c r="B57" s="242"/>
      <c r="C57" s="6"/>
      <c r="D57" s="267"/>
      <c r="H57" s="273"/>
      <c r="I57" s="273"/>
      <c r="J57" s="273"/>
      <c r="L57" s="274"/>
      <c r="M57" s="268"/>
      <c r="N57" s="267"/>
      <c r="O57" s="19">
        <f>$E$49*O56</f>
        <v>0</v>
      </c>
      <c r="P57" s="19">
        <f t="shared" ref="P57:S57" si="4">$E$49*P56</f>
        <v>0</v>
      </c>
      <c r="Q57" s="19">
        <f t="shared" si="4"/>
        <v>0</v>
      </c>
      <c r="R57" s="19">
        <f t="shared" si="4"/>
        <v>0</v>
      </c>
      <c r="S57" s="19">
        <f t="shared" si="4"/>
        <v>0</v>
      </c>
      <c r="T57" s="19">
        <f>IF($B$11&gt;5,IF($B$10&gt;5,$E$49*T56,0),"")</f>
        <v>0</v>
      </c>
      <c r="U57" s="19">
        <f>IF($B$11&gt;6,IF($B$10&gt;6,$E$49*U56,0),"")</f>
        <v>0</v>
      </c>
      <c r="V57" s="19">
        <f>IF($B$11&gt;7,IF($B$10&gt;7,$E$49*V56,0),"")</f>
        <v>0</v>
      </c>
      <c r="W57" s="19">
        <f>IF($B$11&gt;8,IF($B$10&gt;8,$E$49*W56,0),"")</f>
        <v>0</v>
      </c>
      <c r="X57" s="19">
        <f>IF($B$11&gt;9,IF($B$10&gt;9,$E$49*X56,0),"")</f>
        <v>0</v>
      </c>
      <c r="Y57" s="19">
        <f>IF($B$11&gt;10,IF($B$10&gt;10,$E$49*Y56,0),"")</f>
        <v>0</v>
      </c>
      <c r="Z57" s="19">
        <f>IF($B$11&gt;11,IF($B$10&gt;11,$E$49*Z56,0),"")</f>
        <v>0</v>
      </c>
      <c r="AA57" s="19">
        <f>IF($B$11&gt;12,IF($B$10&gt;12,$E$49*AA56,0),"")</f>
        <v>0</v>
      </c>
      <c r="AB57" s="19">
        <f>IF($B$11&gt;13,IF($B$10&gt;13,$E$49*AB56,0),"")</f>
        <v>0</v>
      </c>
      <c r="AC57" s="19">
        <f>IF($B$11&gt;14,IF($B$10&gt;14,$E$49*AC56,0),"")</f>
        <v>0</v>
      </c>
    </row>
    <row r="58" spans="1:29" s="230" customFormat="1" ht="12.75" customHeight="1" x14ac:dyDescent="0.2">
      <c r="A58" s="15"/>
      <c r="B58" s="15"/>
      <c r="C58" s="15"/>
      <c r="L58" s="266"/>
      <c r="M58" s="267"/>
      <c r="N58" s="267"/>
      <c r="O58" s="19"/>
      <c r="P58" s="19"/>
      <c r="Q58" s="19"/>
      <c r="R58" s="19"/>
      <c r="S58" s="19"/>
      <c r="T58" s="275"/>
      <c r="U58" s="275"/>
      <c r="V58" s="275"/>
      <c r="W58" s="275"/>
      <c r="X58" s="275"/>
      <c r="Y58" s="275"/>
      <c r="Z58" s="275"/>
    </row>
    <row r="59" spans="1:29" s="230" customFormat="1" ht="12.75" x14ac:dyDescent="0.2">
      <c r="A59" s="15" t="s">
        <v>48</v>
      </c>
      <c r="B59" s="15"/>
      <c r="C59" s="15"/>
      <c r="O59" s="234"/>
      <c r="P59" s="234"/>
      <c r="Q59" s="234"/>
      <c r="R59" s="234"/>
      <c r="S59" s="234"/>
      <c r="T59" s="234"/>
      <c r="U59" s="234"/>
      <c r="V59" s="234"/>
      <c r="W59" s="265"/>
      <c r="X59" s="265"/>
      <c r="Y59" s="265"/>
      <c r="Z59" s="265"/>
    </row>
    <row r="60" spans="1:29" s="230" customFormat="1" ht="12.75" x14ac:dyDescent="0.2">
      <c r="A60" s="230" t="s">
        <v>49</v>
      </c>
      <c r="B60" s="545"/>
      <c r="C60" s="546"/>
      <c r="D60" s="546"/>
      <c r="E60" s="546"/>
      <c r="F60" s="546"/>
      <c r="G60" s="546"/>
      <c r="H60" s="546"/>
      <c r="I60" s="546"/>
      <c r="J60" s="546"/>
      <c r="K60" s="546"/>
      <c r="L60" s="547"/>
      <c r="N60" s="234"/>
      <c r="O60" s="75">
        <v>0</v>
      </c>
      <c r="P60" s="76">
        <f t="shared" ref="P60:AC60" si="5">O60*1.02</f>
        <v>0</v>
      </c>
      <c r="Q60" s="76">
        <f t="shared" si="5"/>
        <v>0</v>
      </c>
      <c r="R60" s="76">
        <f t="shared" si="5"/>
        <v>0</v>
      </c>
      <c r="S60" s="76">
        <f t="shared" si="5"/>
        <v>0</v>
      </c>
      <c r="T60" s="87">
        <f t="shared" si="5"/>
        <v>0</v>
      </c>
      <c r="U60" s="87">
        <f t="shared" si="5"/>
        <v>0</v>
      </c>
      <c r="V60" s="87">
        <f t="shared" si="5"/>
        <v>0</v>
      </c>
      <c r="W60" s="87">
        <f t="shared" si="5"/>
        <v>0</v>
      </c>
      <c r="X60" s="87">
        <f t="shared" si="5"/>
        <v>0</v>
      </c>
      <c r="Y60" s="87">
        <f t="shared" si="5"/>
        <v>0</v>
      </c>
      <c r="Z60" s="87">
        <f t="shared" si="5"/>
        <v>0</v>
      </c>
      <c r="AA60" s="87">
        <f t="shared" si="5"/>
        <v>0</v>
      </c>
      <c r="AB60" s="87">
        <f t="shared" si="5"/>
        <v>0</v>
      </c>
      <c r="AC60" s="87">
        <f t="shared" si="5"/>
        <v>0</v>
      </c>
    </row>
    <row r="61" spans="1:29" s="230" customFormat="1" ht="12.75" x14ac:dyDescent="0.2">
      <c r="A61" s="230" t="s">
        <v>250</v>
      </c>
      <c r="B61" s="549" t="s">
        <v>100</v>
      </c>
      <c r="C61" s="550"/>
      <c r="D61" s="550"/>
      <c r="E61" s="550"/>
      <c r="F61" s="550"/>
      <c r="G61" s="550"/>
      <c r="H61" s="550"/>
      <c r="I61" s="550"/>
      <c r="J61" s="550"/>
      <c r="K61" s="550"/>
      <c r="L61" s="551"/>
      <c r="N61" s="234"/>
      <c r="O61" s="77">
        <v>0</v>
      </c>
      <c r="P61" s="78">
        <f t="shared" ref="P61:AC61" si="6">O61*1.02</f>
        <v>0</v>
      </c>
      <c r="Q61" s="78">
        <f t="shared" si="6"/>
        <v>0</v>
      </c>
      <c r="R61" s="78">
        <f t="shared" si="6"/>
        <v>0</v>
      </c>
      <c r="S61" s="78">
        <f t="shared" si="6"/>
        <v>0</v>
      </c>
      <c r="T61" s="87">
        <f t="shared" si="6"/>
        <v>0</v>
      </c>
      <c r="U61" s="87">
        <f t="shared" si="6"/>
        <v>0</v>
      </c>
      <c r="V61" s="87">
        <f t="shared" si="6"/>
        <v>0</v>
      </c>
      <c r="W61" s="87">
        <f t="shared" si="6"/>
        <v>0</v>
      </c>
      <c r="X61" s="87">
        <f t="shared" si="6"/>
        <v>0</v>
      </c>
      <c r="Y61" s="87">
        <f t="shared" si="6"/>
        <v>0</v>
      </c>
      <c r="Z61" s="87">
        <f t="shared" si="6"/>
        <v>0</v>
      </c>
      <c r="AA61" s="87">
        <f t="shared" si="6"/>
        <v>0</v>
      </c>
      <c r="AB61" s="87">
        <f t="shared" si="6"/>
        <v>0</v>
      </c>
      <c r="AC61" s="87">
        <f t="shared" si="6"/>
        <v>0</v>
      </c>
    </row>
    <row r="62" spans="1:29" s="230" customFormat="1" ht="12.75" x14ac:dyDescent="0.2">
      <c r="A62" s="230" t="s">
        <v>250</v>
      </c>
      <c r="B62" s="548" t="s">
        <v>260</v>
      </c>
      <c r="C62" s="466"/>
      <c r="D62" s="466"/>
      <c r="E62" s="466"/>
      <c r="F62" s="466"/>
      <c r="G62" s="466"/>
      <c r="H62" s="466"/>
      <c r="I62" s="466"/>
      <c r="J62" s="466"/>
      <c r="K62" s="466"/>
      <c r="L62" s="467"/>
      <c r="N62" s="234"/>
      <c r="O62" s="77">
        <v>0</v>
      </c>
      <c r="P62" s="78">
        <f t="shared" ref="P62:AC62" si="7">O62*1.02</f>
        <v>0</v>
      </c>
      <c r="Q62" s="78">
        <f t="shared" si="7"/>
        <v>0</v>
      </c>
      <c r="R62" s="78">
        <f t="shared" si="7"/>
        <v>0</v>
      </c>
      <c r="S62" s="78">
        <f t="shared" si="7"/>
        <v>0</v>
      </c>
      <c r="T62" s="87">
        <f t="shared" si="7"/>
        <v>0</v>
      </c>
      <c r="U62" s="87">
        <f t="shared" si="7"/>
        <v>0</v>
      </c>
      <c r="V62" s="87">
        <f t="shared" si="7"/>
        <v>0</v>
      </c>
      <c r="W62" s="87">
        <f t="shared" si="7"/>
        <v>0</v>
      </c>
      <c r="X62" s="87">
        <f t="shared" si="7"/>
        <v>0</v>
      </c>
      <c r="Y62" s="87">
        <f t="shared" si="7"/>
        <v>0</v>
      </c>
      <c r="Z62" s="87">
        <f t="shared" si="7"/>
        <v>0</v>
      </c>
      <c r="AA62" s="87">
        <f t="shared" si="7"/>
        <v>0</v>
      </c>
      <c r="AB62" s="87">
        <f t="shared" si="7"/>
        <v>0</v>
      </c>
      <c r="AC62" s="87">
        <f t="shared" si="7"/>
        <v>0</v>
      </c>
    </row>
    <row r="63" spans="1:29" s="230" customFormat="1" ht="12" customHeight="1" x14ac:dyDescent="0.2">
      <c r="A63" s="230" t="s">
        <v>250</v>
      </c>
      <c r="B63" s="548"/>
      <c r="C63" s="466"/>
      <c r="D63" s="466"/>
      <c r="E63" s="466"/>
      <c r="F63" s="466"/>
      <c r="G63" s="466"/>
      <c r="H63" s="466"/>
      <c r="I63" s="466"/>
      <c r="J63" s="466"/>
      <c r="K63" s="466"/>
      <c r="L63" s="467"/>
      <c r="N63" s="234"/>
      <c r="O63" s="89">
        <v>0</v>
      </c>
      <c r="P63" s="90">
        <f t="shared" ref="P63:AC63" si="8">O63*1.02</f>
        <v>0</v>
      </c>
      <c r="Q63" s="90">
        <f t="shared" si="8"/>
        <v>0</v>
      </c>
      <c r="R63" s="90">
        <f t="shared" si="8"/>
        <v>0</v>
      </c>
      <c r="S63" s="90">
        <f t="shared" si="8"/>
        <v>0</v>
      </c>
      <c r="T63" s="87">
        <f t="shared" si="8"/>
        <v>0</v>
      </c>
      <c r="U63" s="87">
        <f t="shared" si="8"/>
        <v>0</v>
      </c>
      <c r="V63" s="87">
        <f t="shared" si="8"/>
        <v>0</v>
      </c>
      <c r="W63" s="87">
        <f t="shared" si="8"/>
        <v>0</v>
      </c>
      <c r="X63" s="87">
        <f t="shared" si="8"/>
        <v>0</v>
      </c>
      <c r="Y63" s="87">
        <f t="shared" si="8"/>
        <v>0</v>
      </c>
      <c r="Z63" s="87">
        <f t="shared" si="8"/>
        <v>0</v>
      </c>
      <c r="AA63" s="87">
        <f t="shared" si="8"/>
        <v>0</v>
      </c>
      <c r="AB63" s="87">
        <f t="shared" si="8"/>
        <v>0</v>
      </c>
      <c r="AC63" s="87">
        <f t="shared" si="8"/>
        <v>0</v>
      </c>
    </row>
    <row r="64" spans="1:29" s="230" customFormat="1" ht="12.75" x14ac:dyDescent="0.2">
      <c r="A64" s="15" t="s">
        <v>50</v>
      </c>
      <c r="B64" s="15"/>
      <c r="C64" s="15"/>
      <c r="N64" s="234"/>
      <c r="O64" s="19">
        <f>SUM(O60:O63)</f>
        <v>0</v>
      </c>
      <c r="P64" s="19">
        <f t="shared" ref="P64:S64" si="9">SUM(P60:P63)</f>
        <v>0</v>
      </c>
      <c r="Q64" s="19">
        <f t="shared" si="9"/>
        <v>0</v>
      </c>
      <c r="R64" s="19">
        <f t="shared" si="9"/>
        <v>0</v>
      </c>
      <c r="S64" s="19">
        <f t="shared" si="9"/>
        <v>0</v>
      </c>
      <c r="T64" s="19">
        <f>IF($B$11&gt;5,SUM(T60:T63),"")</f>
        <v>0</v>
      </c>
      <c r="U64" s="19">
        <f>IF($B$11&gt;6,SUM(U60:U63),"")</f>
        <v>0</v>
      </c>
      <c r="V64" s="19">
        <f>IF($B$11&gt;7,SUM(V60:V63),"")</f>
        <v>0</v>
      </c>
      <c r="W64" s="19">
        <f>IF($B$11&gt;8,SUM(W60:W63),"")</f>
        <v>0</v>
      </c>
      <c r="X64" s="19">
        <f>IF($B$11&gt;9,SUM(X60:X63),"")</f>
        <v>0</v>
      </c>
      <c r="Y64" s="19">
        <f>IF($B$11&gt;10,SUM(Y60:Y63),"")</f>
        <v>0</v>
      </c>
      <c r="Z64" s="19">
        <f>IF($B$11&gt;11,SUM(Z60:Z63),"")</f>
        <v>0</v>
      </c>
      <c r="AA64" s="19">
        <f>IF($B$11&gt;12,SUM(AA60:AA63),"")</f>
        <v>0</v>
      </c>
      <c r="AB64" s="19">
        <f>IF($B$11&gt;13,SUM(AB60:AB63),"")</f>
        <v>0</v>
      </c>
      <c r="AC64" s="19">
        <f>IF($B$11&gt;14,SUM(AC60:AC63),"")</f>
        <v>0</v>
      </c>
    </row>
    <row r="65" spans="1:29" s="230" customFormat="1" ht="12.75" x14ac:dyDescent="0.2">
      <c r="B65" s="15"/>
      <c r="C65" s="15"/>
      <c r="E65" s="231"/>
      <c r="N65" s="234"/>
      <c r="O65" s="231"/>
      <c r="P65" s="231"/>
      <c r="Q65" s="231"/>
      <c r="R65" s="231"/>
      <c r="S65" s="231"/>
      <c r="T65" s="231"/>
      <c r="U65" s="231"/>
      <c r="V65" s="23"/>
      <c r="W65" s="23"/>
      <c r="X65" s="23"/>
      <c r="Y65" s="23"/>
      <c r="Z65" s="23"/>
      <c r="AA65" s="6"/>
      <c r="AB65" s="6"/>
      <c r="AC65" s="6"/>
    </row>
    <row r="66" spans="1:29" s="15" customFormat="1" ht="12.75" x14ac:dyDescent="0.2">
      <c r="A66" s="27" t="s">
        <v>51</v>
      </c>
      <c r="N66" s="20"/>
      <c r="O66" s="19">
        <f t="shared" ref="O66:S66" si="10">O57+O46+O64</f>
        <v>0</v>
      </c>
      <c r="P66" s="19">
        <f t="shared" si="10"/>
        <v>0</v>
      </c>
      <c r="Q66" s="19">
        <f t="shared" si="10"/>
        <v>0</v>
      </c>
      <c r="R66" s="19">
        <f t="shared" si="10"/>
        <v>0</v>
      </c>
      <c r="S66" s="19">
        <f t="shared" si="10"/>
        <v>0</v>
      </c>
      <c r="T66" s="19">
        <f>IF($B$11&gt;5,T57+T46+T64,"")</f>
        <v>0</v>
      </c>
      <c r="U66" s="19">
        <f>IF($B$11&gt;6,U57+U46+U64,"")</f>
        <v>0</v>
      </c>
      <c r="V66" s="19">
        <f>IF($B$11&gt;7,V57+V46+V64,"")</f>
        <v>0</v>
      </c>
      <c r="W66" s="19">
        <f>IF($B$11&gt;8,W57+W46+W64,"")</f>
        <v>0</v>
      </c>
      <c r="X66" s="19">
        <f>IF($B$11&gt;9,X57+X46+X64,"")</f>
        <v>0</v>
      </c>
      <c r="Y66" s="19">
        <f>IF($B$11&gt;10,Y57+Y46+Y64,"")</f>
        <v>0</v>
      </c>
      <c r="Z66" s="19">
        <f>IF($B$11&gt;11,Z57+Z46+Z64,"")</f>
        <v>0</v>
      </c>
      <c r="AA66" s="19">
        <f>IF($B$11&gt;12,AA57+AA46+AA64,"")</f>
        <v>0</v>
      </c>
      <c r="AB66" s="19">
        <f>IF($B$11&gt;13,AB57+AB46+AB64,"")</f>
        <v>0</v>
      </c>
      <c r="AC66" s="19">
        <f>IF($B$11&gt;14,AC57+AC46+AC64,"")</f>
        <v>0</v>
      </c>
    </row>
    <row r="67" spans="1:29" x14ac:dyDescent="0.25">
      <c r="M67" s="230"/>
      <c r="N67" s="230"/>
      <c r="O67" s="231"/>
      <c r="P67" s="231"/>
      <c r="Q67" s="231"/>
      <c r="R67" s="231"/>
      <c r="S67" s="231"/>
      <c r="T67" s="231"/>
      <c r="U67" s="231"/>
      <c r="V67" s="276"/>
      <c r="W67" s="276"/>
      <c r="X67" s="276"/>
      <c r="Y67" s="276"/>
      <c r="Z67" s="276"/>
      <c r="AA67" s="230"/>
      <c r="AB67" s="230"/>
      <c r="AC67" s="230"/>
    </row>
    <row r="68" spans="1:29" ht="18" x14ac:dyDescent="0.25">
      <c r="A68" s="13" t="s">
        <v>52</v>
      </c>
      <c r="M68" s="230"/>
      <c r="N68" s="230"/>
      <c r="O68" s="234"/>
      <c r="P68" s="234"/>
      <c r="Q68" s="234"/>
      <c r="R68" s="234"/>
      <c r="S68" s="234"/>
      <c r="T68" s="234"/>
      <c r="U68" s="234"/>
      <c r="V68" s="234"/>
      <c r="W68" s="265"/>
      <c r="X68" s="265"/>
      <c r="Y68" s="265"/>
      <c r="Z68" s="265"/>
      <c r="AA68" s="230"/>
      <c r="AB68" s="230"/>
      <c r="AC68" s="230"/>
    </row>
    <row r="69" spans="1:29" ht="12.75" customHeight="1" x14ac:dyDescent="0.25">
      <c r="A69" s="15" t="s">
        <v>268</v>
      </c>
      <c r="M69" s="230"/>
      <c r="N69" s="230"/>
      <c r="O69" s="234"/>
      <c r="P69" s="234"/>
      <c r="Q69" s="234"/>
      <c r="R69" s="234"/>
      <c r="S69" s="234"/>
      <c r="T69" s="234"/>
      <c r="U69" s="234"/>
      <c r="V69" s="234"/>
      <c r="W69" s="265"/>
      <c r="X69" s="265"/>
      <c r="Y69" s="265"/>
      <c r="Z69" s="265"/>
      <c r="AA69" s="230"/>
      <c r="AB69" s="230"/>
      <c r="AC69" s="230"/>
    </row>
    <row r="70" spans="1:29" ht="12.75" customHeight="1" x14ac:dyDescent="0.25">
      <c r="A70" s="15"/>
      <c r="M70" s="230"/>
      <c r="N70" s="230"/>
      <c r="O70" s="234"/>
      <c r="P70" s="234"/>
      <c r="Q70" s="234"/>
      <c r="R70" s="234"/>
      <c r="S70" s="234"/>
      <c r="T70" s="234"/>
      <c r="U70" s="234"/>
      <c r="V70" s="234"/>
      <c r="W70" s="265"/>
      <c r="X70" s="265"/>
      <c r="Y70" s="265"/>
      <c r="Z70" s="265"/>
      <c r="AA70" s="230"/>
      <c r="AB70" s="230"/>
      <c r="AC70" s="230"/>
    </row>
    <row r="71" spans="1:29" ht="12.75" customHeight="1" x14ac:dyDescent="0.25">
      <c r="A71" s="15" t="s">
        <v>365</v>
      </c>
      <c r="M71" s="230"/>
      <c r="N71" s="230"/>
      <c r="O71" s="234"/>
      <c r="P71" s="234"/>
      <c r="Q71" s="234"/>
      <c r="R71" s="234"/>
      <c r="S71" s="234"/>
      <c r="T71" s="234"/>
      <c r="U71" s="234"/>
      <c r="V71" s="234"/>
      <c r="W71" s="265"/>
      <c r="X71" s="265"/>
      <c r="Y71" s="265"/>
      <c r="Z71" s="265"/>
      <c r="AA71" s="230"/>
      <c r="AB71" s="230"/>
      <c r="AC71" s="230"/>
    </row>
    <row r="72" spans="1:29" ht="12.75" customHeight="1" x14ac:dyDescent="0.25">
      <c r="A72" s="6" t="s">
        <v>366</v>
      </c>
      <c r="M72" s="230"/>
      <c r="N72" s="75"/>
      <c r="O72" s="76">
        <v>0</v>
      </c>
      <c r="P72" s="76">
        <v>0</v>
      </c>
      <c r="Q72" s="76">
        <v>0</v>
      </c>
      <c r="R72" s="76">
        <v>0</v>
      </c>
      <c r="S72" s="76">
        <v>0</v>
      </c>
      <c r="T72" s="87">
        <v>0</v>
      </c>
      <c r="U72" s="87">
        <v>0</v>
      </c>
      <c r="V72" s="87">
        <v>0</v>
      </c>
      <c r="W72" s="87">
        <v>0</v>
      </c>
      <c r="X72" s="87">
        <v>0</v>
      </c>
      <c r="Y72" s="87">
        <v>0</v>
      </c>
      <c r="Z72" s="87">
        <v>0</v>
      </c>
      <c r="AA72" s="87">
        <v>0</v>
      </c>
      <c r="AB72" s="87">
        <v>0</v>
      </c>
      <c r="AC72" s="87">
        <v>0</v>
      </c>
    </row>
    <row r="73" spans="1:29" ht="12.75" customHeight="1" x14ac:dyDescent="0.25">
      <c r="A73" s="6" t="s">
        <v>367</v>
      </c>
      <c r="M73" s="230"/>
      <c r="N73" s="346">
        <v>0</v>
      </c>
      <c r="O73" s="347">
        <f>N73*1.02</f>
        <v>0</v>
      </c>
      <c r="P73" s="347">
        <f t="shared" ref="P73:AB73" si="11">O73*1.02</f>
        <v>0</v>
      </c>
      <c r="Q73" s="347">
        <f t="shared" si="11"/>
        <v>0</v>
      </c>
      <c r="R73" s="347">
        <f t="shared" si="11"/>
        <v>0</v>
      </c>
      <c r="S73" s="347">
        <f t="shared" si="11"/>
        <v>0</v>
      </c>
      <c r="T73" s="348">
        <f t="shared" si="11"/>
        <v>0</v>
      </c>
      <c r="U73" s="348">
        <f t="shared" si="11"/>
        <v>0</v>
      </c>
      <c r="V73" s="348">
        <f t="shared" si="11"/>
        <v>0</v>
      </c>
      <c r="W73" s="348">
        <f t="shared" si="11"/>
        <v>0</v>
      </c>
      <c r="X73" s="348">
        <f t="shared" si="11"/>
        <v>0</v>
      </c>
      <c r="Y73" s="348">
        <f t="shared" si="11"/>
        <v>0</v>
      </c>
      <c r="Z73" s="348">
        <f t="shared" si="11"/>
        <v>0</v>
      </c>
      <c r="AA73" s="348">
        <f t="shared" si="11"/>
        <v>0</v>
      </c>
      <c r="AB73" s="348">
        <f t="shared" si="11"/>
        <v>0</v>
      </c>
      <c r="AC73" s="348">
        <f>AB73*1.02</f>
        <v>0</v>
      </c>
    </row>
    <row r="74" spans="1:29" ht="12.75" customHeight="1" x14ac:dyDescent="0.25">
      <c r="A74" s="6" t="s">
        <v>368</v>
      </c>
      <c r="M74" s="230"/>
      <c r="N74" s="230"/>
      <c r="O74" s="231">
        <f>O72*O73</f>
        <v>0</v>
      </c>
      <c r="P74" s="231">
        <f t="shared" ref="P74:S74" si="12">P72*P73</f>
        <v>0</v>
      </c>
      <c r="Q74" s="231">
        <f t="shared" si="12"/>
        <v>0</v>
      </c>
      <c r="R74" s="231">
        <f t="shared" si="12"/>
        <v>0</v>
      </c>
      <c r="S74" s="231">
        <f t="shared" si="12"/>
        <v>0</v>
      </c>
      <c r="T74" s="231">
        <f>IF($B$11&gt;5,T72*T73,"")</f>
        <v>0</v>
      </c>
      <c r="U74" s="231">
        <f>IF($B$11&gt;6,U72*U73,"")</f>
        <v>0</v>
      </c>
      <c r="V74" s="231">
        <f>IF($B$11&gt;7,V72*V73,"")</f>
        <v>0</v>
      </c>
      <c r="W74" s="231">
        <f>IF($B$11&gt;8,W72*W73,"")</f>
        <v>0</v>
      </c>
      <c r="X74" s="231">
        <f>IF($B$11&gt;9,X72*X73,"")</f>
        <v>0</v>
      </c>
      <c r="Y74" s="231">
        <f>IF($B$11&gt;10,Y72*Y73,"")</f>
        <v>0</v>
      </c>
      <c r="Z74" s="231">
        <f>IF($B$11&gt;11,Z72*Z73,"")</f>
        <v>0</v>
      </c>
      <c r="AA74" s="231">
        <f>IF($B$11&gt;12,AA72*AA73,"")</f>
        <v>0</v>
      </c>
      <c r="AB74" s="231">
        <f>IF($B$11&gt;13,AB72*AB73,"")</f>
        <v>0</v>
      </c>
      <c r="AC74" s="231">
        <f>IF($B$11&gt;14,AC72*AC73,"")</f>
        <v>0</v>
      </c>
    </row>
    <row r="75" spans="1:29" ht="12.75" customHeight="1" x14ac:dyDescent="0.25">
      <c r="A75" s="15"/>
      <c r="M75" s="230"/>
      <c r="N75" s="230"/>
      <c r="O75" s="234"/>
      <c r="P75" s="234"/>
      <c r="Q75" s="234"/>
      <c r="R75" s="234"/>
      <c r="S75" s="234"/>
      <c r="T75" s="234"/>
      <c r="U75" s="234"/>
      <c r="V75" s="234"/>
      <c r="W75" s="265"/>
      <c r="X75" s="265"/>
      <c r="Y75" s="265"/>
      <c r="Z75" s="265"/>
      <c r="AA75" s="230"/>
      <c r="AB75" s="230"/>
      <c r="AC75" s="230"/>
    </row>
    <row r="76" spans="1:29" ht="12.75" customHeight="1" x14ac:dyDescent="0.25">
      <c r="A76" s="345" t="s">
        <v>364</v>
      </c>
      <c r="B76" s="545" t="s">
        <v>53</v>
      </c>
      <c r="C76" s="546"/>
      <c r="D76" s="546"/>
      <c r="E76" s="546"/>
      <c r="F76" s="546"/>
      <c r="G76" s="546"/>
      <c r="H76" s="546"/>
      <c r="I76" s="546"/>
      <c r="J76" s="546"/>
      <c r="K76" s="546"/>
      <c r="L76" s="547"/>
      <c r="M76" s="230"/>
      <c r="N76" s="75">
        <v>0</v>
      </c>
      <c r="O76" s="76">
        <f t="shared" ref="O76:AC76" si="13">N76*1.02</f>
        <v>0</v>
      </c>
      <c r="P76" s="76">
        <f t="shared" si="13"/>
        <v>0</v>
      </c>
      <c r="Q76" s="76">
        <f t="shared" si="13"/>
        <v>0</v>
      </c>
      <c r="R76" s="76">
        <f t="shared" si="13"/>
        <v>0</v>
      </c>
      <c r="S76" s="76">
        <f t="shared" si="13"/>
        <v>0</v>
      </c>
      <c r="T76" s="87">
        <f t="shared" si="13"/>
        <v>0</v>
      </c>
      <c r="U76" s="87">
        <f t="shared" si="13"/>
        <v>0</v>
      </c>
      <c r="V76" s="87">
        <f t="shared" si="13"/>
        <v>0</v>
      </c>
      <c r="W76" s="87">
        <f t="shared" si="13"/>
        <v>0</v>
      </c>
      <c r="X76" s="87">
        <f t="shared" si="13"/>
        <v>0</v>
      </c>
      <c r="Y76" s="87">
        <f t="shared" si="13"/>
        <v>0</v>
      </c>
      <c r="Z76" s="87">
        <f t="shared" si="13"/>
        <v>0</v>
      </c>
      <c r="AA76" s="87">
        <f t="shared" si="13"/>
        <v>0</v>
      </c>
      <c r="AB76" s="87">
        <f t="shared" si="13"/>
        <v>0</v>
      </c>
      <c r="AC76" s="87">
        <f t="shared" si="13"/>
        <v>0</v>
      </c>
    </row>
    <row r="77" spans="1:29" ht="12.75" customHeight="1" x14ac:dyDescent="0.25">
      <c r="B77" s="530" t="s">
        <v>54</v>
      </c>
      <c r="C77" s="531"/>
      <c r="D77" s="531"/>
      <c r="E77" s="531"/>
      <c r="F77" s="531"/>
      <c r="G77" s="531"/>
      <c r="H77" s="531"/>
      <c r="I77" s="531"/>
      <c r="J77" s="531"/>
      <c r="K77" s="531"/>
      <c r="L77" s="532"/>
      <c r="M77" s="230"/>
      <c r="N77" s="77">
        <v>0</v>
      </c>
      <c r="O77" s="78">
        <f t="shared" ref="O77:AC77" si="14">N77*1.02</f>
        <v>0</v>
      </c>
      <c r="P77" s="78">
        <f t="shared" si="14"/>
        <v>0</v>
      </c>
      <c r="Q77" s="78">
        <f t="shared" si="14"/>
        <v>0</v>
      </c>
      <c r="R77" s="78">
        <f t="shared" si="14"/>
        <v>0</v>
      </c>
      <c r="S77" s="78">
        <f t="shared" si="14"/>
        <v>0</v>
      </c>
      <c r="T77" s="87">
        <f t="shared" si="14"/>
        <v>0</v>
      </c>
      <c r="U77" s="87">
        <f t="shared" si="14"/>
        <v>0</v>
      </c>
      <c r="V77" s="87">
        <f t="shared" si="14"/>
        <v>0</v>
      </c>
      <c r="W77" s="87">
        <f t="shared" si="14"/>
        <v>0</v>
      </c>
      <c r="X77" s="87">
        <f t="shared" si="14"/>
        <v>0</v>
      </c>
      <c r="Y77" s="87">
        <f t="shared" si="14"/>
        <v>0</v>
      </c>
      <c r="Z77" s="87">
        <f t="shared" si="14"/>
        <v>0</v>
      </c>
      <c r="AA77" s="87">
        <f t="shared" si="14"/>
        <v>0</v>
      </c>
      <c r="AB77" s="87">
        <f t="shared" si="14"/>
        <v>0</v>
      </c>
      <c r="AC77" s="87">
        <f t="shared" si="14"/>
        <v>0</v>
      </c>
    </row>
    <row r="78" spans="1:29" ht="12.75" customHeight="1" x14ac:dyDescent="0.25">
      <c r="B78" s="533" t="s">
        <v>55</v>
      </c>
      <c r="C78" s="534"/>
      <c r="D78" s="534"/>
      <c r="E78" s="534"/>
      <c r="F78" s="534"/>
      <c r="G78" s="534"/>
      <c r="H78" s="534"/>
      <c r="I78" s="534"/>
      <c r="J78" s="534"/>
      <c r="K78" s="534"/>
      <c r="L78" s="535"/>
      <c r="M78" s="230"/>
      <c r="N78" s="77">
        <v>0</v>
      </c>
      <c r="O78" s="78">
        <f t="shared" ref="O78:AC78" si="15">N78*1.02</f>
        <v>0</v>
      </c>
      <c r="P78" s="78">
        <f t="shared" si="15"/>
        <v>0</v>
      </c>
      <c r="Q78" s="78">
        <f t="shared" si="15"/>
        <v>0</v>
      </c>
      <c r="R78" s="78">
        <f t="shared" si="15"/>
        <v>0</v>
      </c>
      <c r="S78" s="78">
        <f t="shared" si="15"/>
        <v>0</v>
      </c>
      <c r="T78" s="87">
        <f t="shared" si="15"/>
        <v>0</v>
      </c>
      <c r="U78" s="87">
        <f t="shared" si="15"/>
        <v>0</v>
      </c>
      <c r="V78" s="87">
        <f t="shared" si="15"/>
        <v>0</v>
      </c>
      <c r="W78" s="87">
        <f t="shared" si="15"/>
        <v>0</v>
      </c>
      <c r="X78" s="87">
        <f t="shared" si="15"/>
        <v>0</v>
      </c>
      <c r="Y78" s="87">
        <f t="shared" si="15"/>
        <v>0</v>
      </c>
      <c r="Z78" s="87">
        <f t="shared" si="15"/>
        <v>0</v>
      </c>
      <c r="AA78" s="87">
        <f t="shared" si="15"/>
        <v>0</v>
      </c>
      <c r="AB78" s="87">
        <f t="shared" si="15"/>
        <v>0</v>
      </c>
      <c r="AC78" s="87">
        <f t="shared" si="15"/>
        <v>0</v>
      </c>
    </row>
    <row r="79" spans="1:29" ht="12.75" customHeight="1" x14ac:dyDescent="0.25">
      <c r="B79" s="533" t="s">
        <v>56</v>
      </c>
      <c r="C79" s="474"/>
      <c r="D79" s="474"/>
      <c r="E79" s="474"/>
      <c r="F79" s="474"/>
      <c r="G79" s="474"/>
      <c r="H79" s="474"/>
      <c r="I79" s="474"/>
      <c r="J79" s="474"/>
      <c r="K79" s="474"/>
      <c r="L79" s="475"/>
      <c r="M79" s="230"/>
      <c r="N79" s="77">
        <v>0</v>
      </c>
      <c r="O79" s="78">
        <f t="shared" ref="O79:AC79" si="16">N79*1.02</f>
        <v>0</v>
      </c>
      <c r="P79" s="78">
        <f t="shared" si="16"/>
        <v>0</v>
      </c>
      <c r="Q79" s="78">
        <f t="shared" si="16"/>
        <v>0</v>
      </c>
      <c r="R79" s="78">
        <f t="shared" si="16"/>
        <v>0</v>
      </c>
      <c r="S79" s="78">
        <f t="shared" si="16"/>
        <v>0</v>
      </c>
      <c r="T79" s="87">
        <f t="shared" si="16"/>
        <v>0</v>
      </c>
      <c r="U79" s="87">
        <f t="shared" si="16"/>
        <v>0</v>
      </c>
      <c r="V79" s="87">
        <f t="shared" si="16"/>
        <v>0</v>
      </c>
      <c r="W79" s="87">
        <f t="shared" si="16"/>
        <v>0</v>
      </c>
      <c r="X79" s="87">
        <f t="shared" si="16"/>
        <v>0</v>
      </c>
      <c r="Y79" s="87">
        <f t="shared" si="16"/>
        <v>0</v>
      </c>
      <c r="Z79" s="87">
        <f t="shared" si="16"/>
        <v>0</v>
      </c>
      <c r="AA79" s="87">
        <f t="shared" si="16"/>
        <v>0</v>
      </c>
      <c r="AB79" s="87">
        <f t="shared" si="16"/>
        <v>0</v>
      </c>
      <c r="AC79" s="87">
        <f t="shared" si="16"/>
        <v>0</v>
      </c>
    </row>
    <row r="80" spans="1:29" ht="12.75" customHeight="1" x14ac:dyDescent="0.25">
      <c r="B80" s="533" t="s">
        <v>57</v>
      </c>
      <c r="C80" s="534"/>
      <c r="D80" s="534"/>
      <c r="E80" s="534"/>
      <c r="F80" s="534"/>
      <c r="G80" s="534"/>
      <c r="H80" s="534"/>
      <c r="I80" s="534"/>
      <c r="J80" s="534"/>
      <c r="K80" s="534"/>
      <c r="L80" s="535"/>
      <c r="M80" s="230"/>
      <c r="N80" s="77">
        <v>0</v>
      </c>
      <c r="O80" s="78">
        <f t="shared" ref="O80:AC80" si="17">N80*1.02</f>
        <v>0</v>
      </c>
      <c r="P80" s="78">
        <f t="shared" si="17"/>
        <v>0</v>
      </c>
      <c r="Q80" s="78">
        <f t="shared" si="17"/>
        <v>0</v>
      </c>
      <c r="R80" s="78">
        <f t="shared" si="17"/>
        <v>0</v>
      </c>
      <c r="S80" s="78">
        <f t="shared" si="17"/>
        <v>0</v>
      </c>
      <c r="T80" s="87">
        <f t="shared" si="17"/>
        <v>0</v>
      </c>
      <c r="U80" s="87">
        <f t="shared" si="17"/>
        <v>0</v>
      </c>
      <c r="V80" s="87">
        <f t="shared" si="17"/>
        <v>0</v>
      </c>
      <c r="W80" s="87">
        <f t="shared" si="17"/>
        <v>0</v>
      </c>
      <c r="X80" s="87">
        <f t="shared" si="17"/>
        <v>0</v>
      </c>
      <c r="Y80" s="87">
        <f t="shared" si="17"/>
        <v>0</v>
      </c>
      <c r="Z80" s="87">
        <f t="shared" si="17"/>
        <v>0</v>
      </c>
      <c r="AA80" s="87">
        <f t="shared" si="17"/>
        <v>0</v>
      </c>
      <c r="AB80" s="87">
        <f t="shared" si="17"/>
        <v>0</v>
      </c>
      <c r="AC80" s="87">
        <f t="shared" si="17"/>
        <v>0</v>
      </c>
    </row>
    <row r="81" spans="1:32" ht="12.75" customHeight="1" x14ac:dyDescent="0.25">
      <c r="B81" s="530" t="s">
        <v>58</v>
      </c>
      <c r="C81" s="531"/>
      <c r="D81" s="531"/>
      <c r="E81" s="531"/>
      <c r="F81" s="531"/>
      <c r="G81" s="531"/>
      <c r="H81" s="531"/>
      <c r="I81" s="531"/>
      <c r="J81" s="531"/>
      <c r="K81" s="531"/>
      <c r="L81" s="532"/>
      <c r="M81" s="230"/>
      <c r="N81" s="77">
        <v>0</v>
      </c>
      <c r="O81" s="78">
        <f t="shared" ref="O81:AC81" si="18">N81*1.02</f>
        <v>0</v>
      </c>
      <c r="P81" s="78">
        <f t="shared" si="18"/>
        <v>0</v>
      </c>
      <c r="Q81" s="78">
        <f t="shared" si="18"/>
        <v>0</v>
      </c>
      <c r="R81" s="78">
        <f t="shared" si="18"/>
        <v>0</v>
      </c>
      <c r="S81" s="78">
        <f t="shared" si="18"/>
        <v>0</v>
      </c>
      <c r="T81" s="87">
        <f t="shared" si="18"/>
        <v>0</v>
      </c>
      <c r="U81" s="87">
        <f t="shared" si="18"/>
        <v>0</v>
      </c>
      <c r="V81" s="87">
        <f t="shared" si="18"/>
        <v>0</v>
      </c>
      <c r="W81" s="87">
        <f t="shared" si="18"/>
        <v>0</v>
      </c>
      <c r="X81" s="87">
        <f t="shared" si="18"/>
        <v>0</v>
      </c>
      <c r="Y81" s="87">
        <f t="shared" si="18"/>
        <v>0</v>
      </c>
      <c r="Z81" s="87">
        <f t="shared" si="18"/>
        <v>0</v>
      </c>
      <c r="AA81" s="87">
        <f t="shared" si="18"/>
        <v>0</v>
      </c>
      <c r="AB81" s="87">
        <f t="shared" si="18"/>
        <v>0</v>
      </c>
      <c r="AC81" s="87">
        <f t="shared" si="18"/>
        <v>0</v>
      </c>
    </row>
    <row r="82" spans="1:32" ht="12.75" customHeight="1" x14ac:dyDescent="0.25">
      <c r="B82" s="530" t="s">
        <v>59</v>
      </c>
      <c r="C82" s="474"/>
      <c r="D82" s="474"/>
      <c r="E82" s="474"/>
      <c r="F82" s="474"/>
      <c r="G82" s="474"/>
      <c r="H82" s="474"/>
      <c r="I82" s="474"/>
      <c r="J82" s="474"/>
      <c r="K82" s="474"/>
      <c r="L82" s="475"/>
      <c r="M82" s="230"/>
      <c r="N82" s="77">
        <v>0</v>
      </c>
      <c r="O82" s="78">
        <f t="shared" ref="O82:AC82" si="19">N82*1.02</f>
        <v>0</v>
      </c>
      <c r="P82" s="78">
        <f t="shared" si="19"/>
        <v>0</v>
      </c>
      <c r="Q82" s="78">
        <f t="shared" si="19"/>
        <v>0</v>
      </c>
      <c r="R82" s="78">
        <f t="shared" si="19"/>
        <v>0</v>
      </c>
      <c r="S82" s="78">
        <f t="shared" si="19"/>
        <v>0</v>
      </c>
      <c r="T82" s="87">
        <f t="shared" si="19"/>
        <v>0</v>
      </c>
      <c r="U82" s="87">
        <f t="shared" si="19"/>
        <v>0</v>
      </c>
      <c r="V82" s="87">
        <f t="shared" si="19"/>
        <v>0</v>
      </c>
      <c r="W82" s="87">
        <f t="shared" si="19"/>
        <v>0</v>
      </c>
      <c r="X82" s="87">
        <f t="shared" si="19"/>
        <v>0</v>
      </c>
      <c r="Y82" s="87">
        <f t="shared" si="19"/>
        <v>0</v>
      </c>
      <c r="Z82" s="87">
        <f t="shared" si="19"/>
        <v>0</v>
      </c>
      <c r="AA82" s="87">
        <f t="shared" si="19"/>
        <v>0</v>
      </c>
      <c r="AB82" s="87">
        <f t="shared" si="19"/>
        <v>0</v>
      </c>
      <c r="AC82" s="87">
        <f t="shared" si="19"/>
        <v>0</v>
      </c>
    </row>
    <row r="83" spans="1:32" ht="12.75" customHeight="1" x14ac:dyDescent="0.25">
      <c r="B83" s="530" t="s">
        <v>60</v>
      </c>
      <c r="C83" s="531"/>
      <c r="D83" s="531"/>
      <c r="E83" s="531"/>
      <c r="F83" s="531"/>
      <c r="G83" s="531"/>
      <c r="H83" s="531"/>
      <c r="I83" s="531"/>
      <c r="J83" s="531"/>
      <c r="K83" s="531"/>
      <c r="L83" s="532"/>
      <c r="M83" s="230"/>
      <c r="N83" s="77">
        <v>0</v>
      </c>
      <c r="O83" s="78">
        <f t="shared" ref="O83:AC83" si="20">N83*1.02</f>
        <v>0</v>
      </c>
      <c r="P83" s="78">
        <f t="shared" si="20"/>
        <v>0</v>
      </c>
      <c r="Q83" s="78">
        <f t="shared" si="20"/>
        <v>0</v>
      </c>
      <c r="R83" s="78">
        <f t="shared" si="20"/>
        <v>0</v>
      </c>
      <c r="S83" s="78">
        <f t="shared" si="20"/>
        <v>0</v>
      </c>
      <c r="T83" s="87">
        <f t="shared" si="20"/>
        <v>0</v>
      </c>
      <c r="U83" s="87">
        <f t="shared" si="20"/>
        <v>0</v>
      </c>
      <c r="V83" s="87">
        <f t="shared" si="20"/>
        <v>0</v>
      </c>
      <c r="W83" s="87">
        <f t="shared" si="20"/>
        <v>0</v>
      </c>
      <c r="X83" s="87">
        <f t="shared" si="20"/>
        <v>0</v>
      </c>
      <c r="Y83" s="87">
        <f t="shared" si="20"/>
        <v>0</v>
      </c>
      <c r="Z83" s="87">
        <f t="shared" si="20"/>
        <v>0</v>
      </c>
      <c r="AA83" s="87">
        <f t="shared" si="20"/>
        <v>0</v>
      </c>
      <c r="AB83" s="87">
        <f t="shared" si="20"/>
        <v>0</v>
      </c>
      <c r="AC83" s="87">
        <f t="shared" si="20"/>
        <v>0</v>
      </c>
    </row>
    <row r="84" spans="1:32" ht="12.75" customHeight="1" x14ac:dyDescent="0.25">
      <c r="B84" s="530" t="s">
        <v>61</v>
      </c>
      <c r="C84" s="531"/>
      <c r="D84" s="531"/>
      <c r="E84" s="531"/>
      <c r="F84" s="531"/>
      <c r="G84" s="531"/>
      <c r="H84" s="531"/>
      <c r="I84" s="531"/>
      <c r="J84" s="531"/>
      <c r="K84" s="531"/>
      <c r="L84" s="532"/>
      <c r="M84" s="230"/>
      <c r="N84" s="77">
        <v>0</v>
      </c>
      <c r="O84" s="78">
        <f t="shared" ref="O84:AC84" si="21">N84*1.02</f>
        <v>0</v>
      </c>
      <c r="P84" s="78">
        <f t="shared" si="21"/>
        <v>0</v>
      </c>
      <c r="Q84" s="78">
        <f t="shared" si="21"/>
        <v>0</v>
      </c>
      <c r="R84" s="78">
        <f t="shared" si="21"/>
        <v>0</v>
      </c>
      <c r="S84" s="78">
        <f t="shared" si="21"/>
        <v>0</v>
      </c>
      <c r="T84" s="87">
        <f t="shared" si="21"/>
        <v>0</v>
      </c>
      <c r="U84" s="87">
        <f t="shared" si="21"/>
        <v>0</v>
      </c>
      <c r="V84" s="87">
        <f t="shared" si="21"/>
        <v>0</v>
      </c>
      <c r="W84" s="87">
        <f t="shared" si="21"/>
        <v>0</v>
      </c>
      <c r="X84" s="87">
        <f t="shared" si="21"/>
        <v>0</v>
      </c>
      <c r="Y84" s="87">
        <f t="shared" si="21"/>
        <v>0</v>
      </c>
      <c r="Z84" s="87">
        <f t="shared" si="21"/>
        <v>0</v>
      </c>
      <c r="AA84" s="87">
        <f t="shared" si="21"/>
        <v>0</v>
      </c>
      <c r="AB84" s="87">
        <f t="shared" si="21"/>
        <v>0</v>
      </c>
      <c r="AC84" s="87">
        <f t="shared" si="21"/>
        <v>0</v>
      </c>
    </row>
    <row r="85" spans="1:32" ht="12.75" customHeight="1" x14ac:dyDescent="0.25">
      <c r="B85" s="533" t="s">
        <v>62</v>
      </c>
      <c r="C85" s="534"/>
      <c r="D85" s="534"/>
      <c r="E85" s="534"/>
      <c r="F85" s="534"/>
      <c r="G85" s="534"/>
      <c r="H85" s="534"/>
      <c r="I85" s="534"/>
      <c r="J85" s="534"/>
      <c r="K85" s="534"/>
      <c r="L85" s="535"/>
      <c r="M85" s="230"/>
      <c r="N85" s="77">
        <v>0</v>
      </c>
      <c r="O85" s="78">
        <f t="shared" ref="O85:AC85" si="22">N85*1.02</f>
        <v>0</v>
      </c>
      <c r="P85" s="78">
        <f t="shared" si="22"/>
        <v>0</v>
      </c>
      <c r="Q85" s="78">
        <f t="shared" si="22"/>
        <v>0</v>
      </c>
      <c r="R85" s="78">
        <f t="shared" si="22"/>
        <v>0</v>
      </c>
      <c r="S85" s="78">
        <f t="shared" si="22"/>
        <v>0</v>
      </c>
      <c r="T85" s="87">
        <f t="shared" si="22"/>
        <v>0</v>
      </c>
      <c r="U85" s="87">
        <f t="shared" si="22"/>
        <v>0</v>
      </c>
      <c r="V85" s="87">
        <f t="shared" si="22"/>
        <v>0</v>
      </c>
      <c r="W85" s="87">
        <f t="shared" si="22"/>
        <v>0</v>
      </c>
      <c r="X85" s="87">
        <f t="shared" si="22"/>
        <v>0</v>
      </c>
      <c r="Y85" s="87">
        <f t="shared" si="22"/>
        <v>0</v>
      </c>
      <c r="Z85" s="87">
        <f t="shared" si="22"/>
        <v>0</v>
      </c>
      <c r="AA85" s="87">
        <f t="shared" si="22"/>
        <v>0</v>
      </c>
      <c r="AB85" s="87">
        <f t="shared" si="22"/>
        <v>0</v>
      </c>
      <c r="AC85" s="87">
        <f t="shared" si="22"/>
        <v>0</v>
      </c>
    </row>
    <row r="86" spans="1:32" ht="12.75" customHeight="1" x14ac:dyDescent="0.25">
      <c r="B86" s="530" t="s">
        <v>63</v>
      </c>
      <c r="C86" s="531"/>
      <c r="D86" s="531"/>
      <c r="E86" s="531"/>
      <c r="F86" s="531"/>
      <c r="G86" s="531"/>
      <c r="H86" s="531"/>
      <c r="I86" s="531"/>
      <c r="J86" s="531"/>
      <c r="K86" s="531"/>
      <c r="L86" s="532"/>
      <c r="M86" s="230"/>
      <c r="N86" s="77">
        <v>0</v>
      </c>
      <c r="O86" s="78">
        <f t="shared" ref="O86:AC86" si="23">N86*1.02</f>
        <v>0</v>
      </c>
      <c r="P86" s="78">
        <f t="shared" si="23"/>
        <v>0</v>
      </c>
      <c r="Q86" s="78">
        <f t="shared" si="23"/>
        <v>0</v>
      </c>
      <c r="R86" s="78">
        <f t="shared" si="23"/>
        <v>0</v>
      </c>
      <c r="S86" s="78">
        <f t="shared" si="23"/>
        <v>0</v>
      </c>
      <c r="T86" s="87">
        <f t="shared" si="23"/>
        <v>0</v>
      </c>
      <c r="U86" s="87">
        <f t="shared" si="23"/>
        <v>0</v>
      </c>
      <c r="V86" s="87">
        <f t="shared" si="23"/>
        <v>0</v>
      </c>
      <c r="W86" s="87">
        <f t="shared" si="23"/>
        <v>0</v>
      </c>
      <c r="X86" s="87">
        <f t="shared" si="23"/>
        <v>0</v>
      </c>
      <c r="Y86" s="87">
        <f t="shared" si="23"/>
        <v>0</v>
      </c>
      <c r="Z86" s="87">
        <f t="shared" si="23"/>
        <v>0</v>
      </c>
      <c r="AA86" s="87">
        <f t="shared" si="23"/>
        <v>0</v>
      </c>
      <c r="AB86" s="87">
        <f t="shared" si="23"/>
        <v>0</v>
      </c>
      <c r="AC86" s="87">
        <f t="shared" si="23"/>
        <v>0</v>
      </c>
    </row>
    <row r="87" spans="1:32" ht="12.75" customHeight="1" x14ac:dyDescent="0.25">
      <c r="B87" s="91" t="s">
        <v>258</v>
      </c>
      <c r="C87" s="92"/>
      <c r="D87" s="92"/>
      <c r="E87" s="92"/>
      <c r="F87" s="92"/>
      <c r="G87" s="92"/>
      <c r="H87" s="92"/>
      <c r="I87" s="92"/>
      <c r="J87" s="92"/>
      <c r="K87" s="92"/>
      <c r="L87" s="93"/>
      <c r="M87" s="230"/>
      <c r="N87" s="77">
        <v>0</v>
      </c>
      <c r="O87" s="78">
        <f t="shared" ref="O87:AC87" si="24">N87*1.02</f>
        <v>0</v>
      </c>
      <c r="P87" s="78">
        <f t="shared" si="24"/>
        <v>0</v>
      </c>
      <c r="Q87" s="78">
        <f t="shared" si="24"/>
        <v>0</v>
      </c>
      <c r="R87" s="78">
        <f t="shared" si="24"/>
        <v>0</v>
      </c>
      <c r="S87" s="78">
        <f t="shared" si="24"/>
        <v>0</v>
      </c>
      <c r="T87" s="87">
        <f t="shared" si="24"/>
        <v>0</v>
      </c>
      <c r="U87" s="87">
        <f t="shared" si="24"/>
        <v>0</v>
      </c>
      <c r="V87" s="87">
        <f t="shared" si="24"/>
        <v>0</v>
      </c>
      <c r="W87" s="87">
        <f t="shared" si="24"/>
        <v>0</v>
      </c>
      <c r="X87" s="87">
        <f t="shared" si="24"/>
        <v>0</v>
      </c>
      <c r="Y87" s="87">
        <f t="shared" si="24"/>
        <v>0</v>
      </c>
      <c r="Z87" s="87">
        <f t="shared" si="24"/>
        <v>0</v>
      </c>
      <c r="AA87" s="87">
        <f t="shared" si="24"/>
        <v>0</v>
      </c>
      <c r="AB87" s="87">
        <f t="shared" si="24"/>
        <v>0</v>
      </c>
      <c r="AC87" s="87">
        <f t="shared" si="24"/>
        <v>0</v>
      </c>
    </row>
    <row r="88" spans="1:32" ht="12.75" customHeight="1" x14ac:dyDescent="0.25">
      <c r="B88" s="91"/>
      <c r="C88" s="92"/>
      <c r="D88" s="92"/>
      <c r="E88" s="92"/>
      <c r="F88" s="92"/>
      <c r="G88" s="92"/>
      <c r="H88" s="92"/>
      <c r="I88" s="92"/>
      <c r="J88" s="92"/>
      <c r="K88" s="92"/>
      <c r="L88" s="93"/>
      <c r="M88" s="230"/>
      <c r="N88" s="77">
        <v>0</v>
      </c>
      <c r="O88" s="78">
        <f t="shared" ref="O88:AC88" si="25">N88*1.02</f>
        <v>0</v>
      </c>
      <c r="P88" s="78">
        <f t="shared" si="25"/>
        <v>0</v>
      </c>
      <c r="Q88" s="78">
        <f t="shared" si="25"/>
        <v>0</v>
      </c>
      <c r="R88" s="78">
        <f t="shared" si="25"/>
        <v>0</v>
      </c>
      <c r="S88" s="78">
        <f t="shared" si="25"/>
        <v>0</v>
      </c>
      <c r="T88" s="87">
        <f t="shared" si="25"/>
        <v>0</v>
      </c>
      <c r="U88" s="87">
        <f t="shared" si="25"/>
        <v>0</v>
      </c>
      <c r="V88" s="87">
        <f t="shared" si="25"/>
        <v>0</v>
      </c>
      <c r="W88" s="87">
        <f t="shared" si="25"/>
        <v>0</v>
      </c>
      <c r="X88" s="87">
        <f t="shared" si="25"/>
        <v>0</v>
      </c>
      <c r="Y88" s="87">
        <f t="shared" si="25"/>
        <v>0</v>
      </c>
      <c r="Z88" s="87">
        <f t="shared" si="25"/>
        <v>0</v>
      </c>
      <c r="AA88" s="87">
        <f t="shared" si="25"/>
        <v>0</v>
      </c>
      <c r="AB88" s="87">
        <f t="shared" si="25"/>
        <v>0</v>
      </c>
      <c r="AC88" s="87">
        <f t="shared" si="25"/>
        <v>0</v>
      </c>
    </row>
    <row r="89" spans="1:32" ht="12.75" customHeight="1" x14ac:dyDescent="0.25">
      <c r="B89" s="536"/>
      <c r="C89" s="537"/>
      <c r="D89" s="537"/>
      <c r="E89" s="537"/>
      <c r="F89" s="537"/>
      <c r="G89" s="537"/>
      <c r="H89" s="537"/>
      <c r="I89" s="537"/>
      <c r="J89" s="537"/>
      <c r="K89" s="537"/>
      <c r="L89" s="538"/>
      <c r="M89" s="217"/>
      <c r="N89" s="277">
        <v>0</v>
      </c>
      <c r="O89" s="278">
        <f t="shared" ref="O89:AC89" si="26">N89*1.02</f>
        <v>0</v>
      </c>
      <c r="P89" s="278">
        <f t="shared" si="26"/>
        <v>0</v>
      </c>
      <c r="Q89" s="278">
        <f t="shared" si="26"/>
        <v>0</v>
      </c>
      <c r="R89" s="278">
        <f t="shared" si="26"/>
        <v>0</v>
      </c>
      <c r="S89" s="278">
        <f t="shared" si="26"/>
        <v>0</v>
      </c>
      <c r="T89" s="23">
        <f t="shared" si="26"/>
        <v>0</v>
      </c>
      <c r="U89" s="23">
        <f t="shared" si="26"/>
        <v>0</v>
      </c>
      <c r="V89" s="23">
        <f t="shared" si="26"/>
        <v>0</v>
      </c>
      <c r="W89" s="23">
        <f t="shared" si="26"/>
        <v>0</v>
      </c>
      <c r="X89" s="23">
        <f t="shared" si="26"/>
        <v>0</v>
      </c>
      <c r="Y89" s="23">
        <f t="shared" si="26"/>
        <v>0</v>
      </c>
      <c r="Z89" s="23">
        <f t="shared" si="26"/>
        <v>0</v>
      </c>
      <c r="AA89" s="23">
        <f t="shared" si="26"/>
        <v>0</v>
      </c>
      <c r="AB89" s="23">
        <f t="shared" si="26"/>
        <v>0</v>
      </c>
      <c r="AC89" s="23">
        <f t="shared" si="26"/>
        <v>0</v>
      </c>
    </row>
    <row r="90" spans="1:32" s="15" customFormat="1" ht="12.75" customHeight="1" x14ac:dyDescent="0.2">
      <c r="A90" s="15" t="s">
        <v>269</v>
      </c>
      <c r="C90" s="20"/>
      <c r="D90" s="20"/>
      <c r="E90" s="20"/>
      <c r="F90" s="20"/>
      <c r="G90" s="20"/>
      <c r="H90" s="20"/>
      <c r="I90" s="20"/>
      <c r="J90" s="20"/>
      <c r="K90" s="20"/>
      <c r="L90" s="279"/>
      <c r="N90" s="19">
        <f>SUM(N76:N89)</f>
        <v>0</v>
      </c>
      <c r="O90" s="19">
        <f>SUM(O76:O89)+O74</f>
        <v>0</v>
      </c>
      <c r="P90" s="19">
        <f>SUM(P76:P89)+P74</f>
        <v>0</v>
      </c>
      <c r="Q90" s="19">
        <f>SUM(Q76:Q89)+Q74</f>
        <v>0</v>
      </c>
      <c r="R90" s="19">
        <f>SUM(R76:R89)+R74</f>
        <v>0</v>
      </c>
      <c r="S90" s="19">
        <f>SUM(S76:S89)+S74</f>
        <v>0</v>
      </c>
      <c r="T90" s="19">
        <f>IF($B$11&gt;5,SUM(T76:T89)+T74,"")</f>
        <v>0</v>
      </c>
      <c r="U90" s="19">
        <f>IF($B$11&gt;6,SUM(U76:U89)+U74,"")</f>
        <v>0</v>
      </c>
      <c r="V90" s="19">
        <f>IF($B$11&gt;7,SUM(V76:V89)+V74,"")</f>
        <v>0</v>
      </c>
      <c r="W90" s="19">
        <f>IF($B$11&gt;8,SUM(W76:W89)+W74,"")</f>
        <v>0</v>
      </c>
      <c r="X90" s="19">
        <f>IF($B$11&gt;9,SUM(X76:X89)+X74,"")</f>
        <v>0</v>
      </c>
      <c r="Y90" s="19">
        <f>IF($B$11&gt;10,SUM(Y76:Y89)+Y74,"")</f>
        <v>0</v>
      </c>
      <c r="Z90" s="19">
        <f>IF($B$11&gt;11,SUM(Z76:Z89)+Z74,"")</f>
        <v>0</v>
      </c>
      <c r="AA90" s="19">
        <f>IF($B$11&gt;12,SUM(AA76:AA89)+AA74,"")</f>
        <v>0</v>
      </c>
      <c r="AB90" s="19">
        <f>IF($B$11&gt;13,SUM(AB76:AB89)+AB74,"")</f>
        <v>0</v>
      </c>
      <c r="AC90" s="19">
        <f>IF($B$11&gt;14,SUM(AC76:AC89)+AC74,"")</f>
        <v>0</v>
      </c>
    </row>
    <row r="91" spans="1:32" s="15" customFormat="1" ht="12.75" customHeight="1" x14ac:dyDescent="0.2">
      <c r="C91" s="20"/>
      <c r="D91" s="20"/>
      <c r="E91" s="20"/>
      <c r="F91" s="20"/>
      <c r="G91" s="20"/>
      <c r="H91" s="20"/>
      <c r="I91" s="20"/>
      <c r="J91" s="20"/>
      <c r="K91" s="20"/>
      <c r="L91" s="279"/>
      <c r="N91" s="19"/>
      <c r="O91" s="19"/>
      <c r="P91" s="19"/>
      <c r="Q91" s="19"/>
      <c r="R91" s="19"/>
      <c r="S91" s="19"/>
      <c r="T91" s="19"/>
      <c r="U91" s="19"/>
      <c r="V91" s="19"/>
      <c r="W91" s="19"/>
      <c r="X91" s="19"/>
      <c r="Y91" s="19"/>
      <c r="Z91" s="19"/>
      <c r="AA91" s="19"/>
      <c r="AB91" s="19"/>
      <c r="AC91" s="19"/>
    </row>
    <row r="92" spans="1:32" s="15" customFormat="1" ht="12.75" customHeight="1" x14ac:dyDescent="0.25">
      <c r="B92" s="9" t="s">
        <v>64</v>
      </c>
      <c r="C92" s="20"/>
      <c r="D92" s="20"/>
      <c r="E92" s="9"/>
      <c r="F92" s="20"/>
      <c r="G92" s="20"/>
      <c r="H92" s="20"/>
      <c r="I92" s="20"/>
      <c r="J92" s="280"/>
      <c r="K92" s="20"/>
      <c r="L92" s="20"/>
      <c r="N92" s="20"/>
      <c r="O92" s="20"/>
      <c r="P92" s="20"/>
      <c r="Q92" s="20"/>
      <c r="R92" s="20"/>
      <c r="S92" s="20"/>
      <c r="T92" s="20"/>
      <c r="U92" s="20"/>
      <c r="V92" s="20"/>
      <c r="W92" s="224"/>
      <c r="X92" s="224"/>
      <c r="Y92" s="224"/>
      <c r="Z92" s="224"/>
      <c r="AA92" s="19"/>
      <c r="AB92" s="19"/>
      <c r="AC92" s="19"/>
    </row>
    <row r="93" spans="1:32" ht="12.75" customHeight="1" x14ac:dyDescent="0.25">
      <c r="A93" s="6" t="s">
        <v>276</v>
      </c>
      <c r="B93" s="539">
        <f>B11</f>
        <v>15</v>
      </c>
      <c r="C93" s="488"/>
      <c r="M93" s="234"/>
      <c r="N93" s="231"/>
      <c r="O93" s="23">
        <f t="shared" ref="O93:S93" si="27">$N$24/$B$11</f>
        <v>0</v>
      </c>
      <c r="P93" s="23">
        <f t="shared" si="27"/>
        <v>0</v>
      </c>
      <c r="Q93" s="23">
        <f t="shared" si="27"/>
        <v>0</v>
      </c>
      <c r="R93" s="23">
        <f t="shared" si="27"/>
        <v>0</v>
      </c>
      <c r="S93" s="23">
        <f t="shared" si="27"/>
        <v>0</v>
      </c>
      <c r="T93" s="23">
        <f>IF($B$11&gt;5,$N$24/$B$11,"")</f>
        <v>0</v>
      </c>
      <c r="U93" s="23">
        <f>IF($B$11&gt;6,$N$24/$B$11,"")</f>
        <v>0</v>
      </c>
      <c r="V93" s="23">
        <f>IF($B$11&gt;7,$N$24/$B$11,"")</f>
        <v>0</v>
      </c>
      <c r="W93" s="23">
        <f>IF($B$11&gt;8,$N$24/$B$11,"")</f>
        <v>0</v>
      </c>
      <c r="X93" s="23">
        <f>IF($B$11&gt;9,$N$24/$B$11,"")</f>
        <v>0</v>
      </c>
      <c r="Y93" s="23">
        <f>IF($B$11&gt;10,$N$24/$B$11,"")</f>
        <v>0</v>
      </c>
      <c r="Z93" s="23">
        <f>IF($B$11&gt;11,$N$24/$B$11,"")</f>
        <v>0</v>
      </c>
      <c r="AA93" s="23">
        <f>IF($B$11&gt;12,$N$24/$B$11,"")</f>
        <v>0</v>
      </c>
      <c r="AB93" s="23">
        <f>IF($B$11&gt;13,$N$24/$B$11,"")</f>
        <v>0</v>
      </c>
      <c r="AC93" s="23">
        <f>IF($B$11&gt;14,$N$24/$B$11,"")</f>
        <v>0</v>
      </c>
    </row>
    <row r="94" spans="1:32" ht="12.75" hidden="1" customHeight="1" x14ac:dyDescent="0.25">
      <c r="A94" s="6" t="s">
        <v>65</v>
      </c>
      <c r="L94" s="6"/>
      <c r="M94" s="230"/>
      <c r="N94" s="231"/>
      <c r="O94" s="23" t="e">
        <f t="shared" ref="O94:U94" si="28">IF(O35&gt;$E$33,0,IPMT($L$33,O35,$E$33,$L$30))*-1</f>
        <v>#DIV/0!</v>
      </c>
      <c r="P94" s="23" t="e">
        <f t="shared" si="28"/>
        <v>#DIV/0!</v>
      </c>
      <c r="Q94" s="23" t="e">
        <f t="shared" si="28"/>
        <v>#DIV/0!</v>
      </c>
      <c r="R94" s="23" t="e">
        <f t="shared" si="28"/>
        <v>#DIV/0!</v>
      </c>
      <c r="S94" s="23" t="e">
        <f t="shared" si="28"/>
        <v>#DIV/0!</v>
      </c>
      <c r="T94" s="276" t="e">
        <f t="shared" si="28"/>
        <v>#DIV/0!</v>
      </c>
      <c r="U94" s="276" t="e">
        <f t="shared" si="28"/>
        <v>#DIV/0!</v>
      </c>
      <c r="V94" s="23" t="e">
        <f>IF($B$11&gt;7,IF(V35&gt;$E$33,0,IPMT($L$33,V35,$E$33,$L$30))*-1,"")</f>
        <v>#DIV/0!</v>
      </c>
      <c r="W94" s="23" t="e">
        <f>IF($B$11&gt;8,IF(W35&gt;$E$33,0,IPMT($L$33,W35,$E$33,$L$30))*-1,"")</f>
        <v>#DIV/0!</v>
      </c>
      <c r="X94" s="23" t="e">
        <f>IF($B$11&gt;9,IF(X35&gt;$E$33,0,IPMT($L$33,X35,$E$33,$L$30))*-1,"")</f>
        <v>#DIV/0!</v>
      </c>
      <c r="Y94" s="23" t="e">
        <f>IF($B$11&gt;10,IF(Y35&gt;$E$33,0,IPMT($L$33,Y35,$E$33,$L$30))*-1,"")</f>
        <v>#DIV/0!</v>
      </c>
      <c r="Z94" s="23" t="e">
        <f>IF($B$11&gt;11,IF(Z35&gt;$E$33,0,IPMT($L$33,Z35,$E$33,$L$30))*-1,"")</f>
        <v>#DIV/0!</v>
      </c>
      <c r="AA94" s="23" t="e">
        <f>IF($B$11&gt;12,IF(AA35&gt;$E$33,0,IPMT($L$33,AA35,$E$33,$L$30))*-1,"")</f>
        <v>#DIV/0!</v>
      </c>
      <c r="AB94" s="23" t="e">
        <f>IF($B$11&gt;13,IF(AB35&gt;$E$33,0,IPMT($L$33,AB35,$E$33,$L$30))*-1,"")</f>
        <v>#DIV/0!</v>
      </c>
      <c r="AC94" s="23" t="e">
        <f>IF($B$11&gt;14,IF(AC35&gt;$E$33,0,IPMT($L$33,AC35,$E$33,$L$30))*-1,"")</f>
        <v>#DIV/0!</v>
      </c>
      <c r="AD94" s="6"/>
      <c r="AE94" s="7"/>
    </row>
    <row r="95" spans="1:32" ht="12.75" hidden="1" customHeight="1" x14ac:dyDescent="0.25">
      <c r="A95" s="6" t="s">
        <v>66</v>
      </c>
      <c r="M95" s="230"/>
      <c r="N95" s="231"/>
      <c r="O95" s="23" t="e">
        <f t="shared" ref="O95:U95" si="29">IF(O35&gt;$E$33,0,PPMT($L$33,O35,$E$33,$L$30))*-1</f>
        <v>#DIV/0!</v>
      </c>
      <c r="P95" s="23" t="e">
        <f t="shared" si="29"/>
        <v>#DIV/0!</v>
      </c>
      <c r="Q95" s="23" t="e">
        <f t="shared" si="29"/>
        <v>#DIV/0!</v>
      </c>
      <c r="R95" s="23" t="e">
        <f t="shared" si="29"/>
        <v>#DIV/0!</v>
      </c>
      <c r="S95" s="23" t="e">
        <f t="shared" si="29"/>
        <v>#DIV/0!</v>
      </c>
      <c r="T95" s="276" t="e">
        <f t="shared" si="29"/>
        <v>#DIV/0!</v>
      </c>
      <c r="U95" s="276" t="e">
        <f t="shared" si="29"/>
        <v>#DIV/0!</v>
      </c>
      <c r="V95" s="23" t="e">
        <f>IF($B$11&gt;7,IF(V35&gt;$E$33,0,PPMT($L$33,V35,$E$33,$L$30))*-1,"")</f>
        <v>#DIV/0!</v>
      </c>
      <c r="W95" s="23" t="e">
        <f>IF($B$11&gt;8,IF(W35&gt;$E$33,0,PPMT($L$33,W35,$E$33,$L$30))*-1,"")</f>
        <v>#DIV/0!</v>
      </c>
      <c r="X95" s="23" t="e">
        <f>IF($B$11&gt;9,IF(X35&gt;$E$33,0,PPMT($L$33,X35,$E$33,$L$30))*-1,"")</f>
        <v>#DIV/0!</v>
      </c>
      <c r="Y95" s="23" t="e">
        <f>IF($B$11&gt;10,IF(Y35&gt;$E$33,0,PPMT($L$33,Y35,$E$33,$L$30))*-1,"")</f>
        <v>#DIV/0!</v>
      </c>
      <c r="Z95" s="23" t="e">
        <f>IF($B$11&gt;11,IF(Z35&gt;$E$33,0,PPMT($L$33,Z35,$E$33,$L$30))*-1,"")</f>
        <v>#DIV/0!</v>
      </c>
      <c r="AA95" s="23" t="e">
        <f>IF($B$11&gt;12,IF(AA35&gt;$E$33,0,PPMT($L$33,AA35,$E$33,$L$30))*-1,"")</f>
        <v>#DIV/0!</v>
      </c>
      <c r="AB95" s="23" t="e">
        <f>IF($B$11&gt;13,IF(AB35&gt;$E$33,0,PPMT($L$33,AB35,$E$33,$L$30))*-1,"")</f>
        <v>#DIV/0!</v>
      </c>
      <c r="AC95" s="23" t="e">
        <f>IF($B$11&gt;14,IF(AC35&gt;$E$33,0,PPMT($L$33,AC35,$E$33,$L$30))*-1,"")</f>
        <v>#DIV/0!</v>
      </c>
      <c r="AD95" s="6"/>
      <c r="AE95" s="275"/>
      <c r="AF95" s="217"/>
    </row>
    <row r="96" spans="1:32" ht="12.75" hidden="1" customHeight="1" x14ac:dyDescent="0.25">
      <c r="A96" s="6" t="s">
        <v>67</v>
      </c>
      <c r="M96" s="230"/>
      <c r="N96" s="231"/>
      <c r="O96" s="23" t="e">
        <f>$L$30*$L$33</f>
        <v>#DIV/0!</v>
      </c>
      <c r="P96" s="23" t="e">
        <f t="shared" ref="P96:U96" si="30">O98*$L$33</f>
        <v>#DIV/0!</v>
      </c>
      <c r="Q96" s="23" t="e">
        <f t="shared" si="30"/>
        <v>#DIV/0!</v>
      </c>
      <c r="R96" s="23" t="e">
        <f t="shared" si="30"/>
        <v>#DIV/0!</v>
      </c>
      <c r="S96" s="23" t="e">
        <f t="shared" si="30"/>
        <v>#DIV/0!</v>
      </c>
      <c r="T96" s="276" t="e">
        <f t="shared" si="30"/>
        <v>#DIV/0!</v>
      </c>
      <c r="U96" s="276" t="e">
        <f t="shared" si="30"/>
        <v>#DIV/0!</v>
      </c>
      <c r="V96" s="23" t="e">
        <f>IF($B$11&gt;7,U98*$L$33,"")</f>
        <v>#DIV/0!</v>
      </c>
      <c r="W96" s="23" t="e">
        <f>IF($B$11&gt;8,V98*$L$33,"")</f>
        <v>#DIV/0!</v>
      </c>
      <c r="X96" s="23" t="e">
        <f>IF($B$11&gt;9,W98*$L$33,"")</f>
        <v>#DIV/0!</v>
      </c>
      <c r="Y96" s="23" t="e">
        <f>IF($B$11&gt;10,X98*$L$33,"")</f>
        <v>#DIV/0!</v>
      </c>
      <c r="Z96" s="23" t="e">
        <f>IF($B$11&gt;11,Y98*$L$33,"")</f>
        <v>#DIV/0!</v>
      </c>
      <c r="AA96" s="23" t="e">
        <f>IF($B$11&gt;12,Z98*$L$33,"")</f>
        <v>#DIV/0!</v>
      </c>
      <c r="AB96" s="23" t="e">
        <f>IF($B$11&gt;13,AA98*$L$33,"")</f>
        <v>#DIV/0!</v>
      </c>
      <c r="AC96" s="23" t="e">
        <f>IF($B$11&gt;14,AB98*$L$33,"")</f>
        <v>#DIV/0!</v>
      </c>
      <c r="AD96" s="6"/>
      <c r="AE96" s="275"/>
    </row>
    <row r="97" spans="1:32" ht="12.75" hidden="1" customHeight="1" x14ac:dyDescent="0.25">
      <c r="A97" s="6" t="s">
        <v>68</v>
      </c>
      <c r="M97" s="230"/>
      <c r="N97" s="231"/>
      <c r="O97" s="23" t="e">
        <f t="shared" ref="O97:U97" si="31">IF(O35&gt;$E$33,0,$L$30/$E33)</f>
        <v>#DIV/0!</v>
      </c>
      <c r="P97" s="23" t="e">
        <f t="shared" si="31"/>
        <v>#DIV/0!</v>
      </c>
      <c r="Q97" s="23" t="e">
        <f t="shared" si="31"/>
        <v>#DIV/0!</v>
      </c>
      <c r="R97" s="23" t="e">
        <f t="shared" si="31"/>
        <v>#DIV/0!</v>
      </c>
      <c r="S97" s="23" t="e">
        <f t="shared" si="31"/>
        <v>#DIV/0!</v>
      </c>
      <c r="T97" s="276" t="e">
        <f t="shared" si="31"/>
        <v>#DIV/0!</v>
      </c>
      <c r="U97" s="276" t="e">
        <f t="shared" si="31"/>
        <v>#DIV/0!</v>
      </c>
      <c r="V97" s="23" t="e">
        <f>IF($B$11&gt;7,IF(V35&gt;$E$33,0,$L$30/$E33),"")</f>
        <v>#DIV/0!</v>
      </c>
      <c r="W97" s="23" t="e">
        <f>IF($B$11&gt;8,IF(W35&gt;$E$33,0,$L$30/$E33),"")</f>
        <v>#DIV/0!</v>
      </c>
      <c r="X97" s="23" t="e">
        <f>IF($B$11&gt;9,IF(X35&gt;$E$33,0,$L$30/$E33),"")</f>
        <v>#DIV/0!</v>
      </c>
      <c r="Y97" s="23" t="e">
        <f>IF($B$11&gt;10,IF(Y35&gt;$E$33,0,$L$30/$E33),"")</f>
        <v>#DIV/0!</v>
      </c>
      <c r="Z97" s="23" t="e">
        <f>IF($B$11&gt;11,IF(Z35&gt;$E$33,0,$L$30/$E33),"")</f>
        <v>#DIV/0!</v>
      </c>
      <c r="AA97" s="23" t="e">
        <f>IF($B$11&gt;12,IF(AA35&gt;$E$33,0,$L$30/$E33),"")</f>
        <v>#DIV/0!</v>
      </c>
      <c r="AB97" s="23" t="e">
        <f>IF($B$11&gt;13,IF(AB35&gt;$E$33,0,$L$30/$E33),"")</f>
        <v>#DIV/0!</v>
      </c>
      <c r="AC97" s="23" t="e">
        <f>IF($B$11&gt;14,IF(AC35&gt;$E$33,0,$L$30/$E33),"")</f>
        <v>#DIV/0!</v>
      </c>
      <c r="AD97" s="6"/>
      <c r="AE97" s="275"/>
      <c r="AF97" s="217"/>
    </row>
    <row r="98" spans="1:32" ht="12.75" hidden="1" customHeight="1" x14ac:dyDescent="0.25">
      <c r="A98" s="6" t="s">
        <v>69</v>
      </c>
      <c r="M98" s="230"/>
      <c r="N98" s="231"/>
      <c r="O98" s="23" t="e">
        <f>$L$30-O97</f>
        <v>#DIV/0!</v>
      </c>
      <c r="P98" s="23" t="e">
        <f>O98-P97</f>
        <v>#DIV/0!</v>
      </c>
      <c r="Q98" s="23" t="e">
        <f t="shared" ref="Q98:U98" si="32">P98-Q97</f>
        <v>#DIV/0!</v>
      </c>
      <c r="R98" s="23" t="e">
        <f t="shared" si="32"/>
        <v>#DIV/0!</v>
      </c>
      <c r="S98" s="23" t="e">
        <f t="shared" si="32"/>
        <v>#DIV/0!</v>
      </c>
      <c r="T98" s="276" t="e">
        <f t="shared" si="32"/>
        <v>#DIV/0!</v>
      </c>
      <c r="U98" s="276" t="e">
        <f t="shared" si="32"/>
        <v>#DIV/0!</v>
      </c>
      <c r="V98" s="23" t="e">
        <f>IF($B$11&gt;7,U98-V97,"")</f>
        <v>#DIV/0!</v>
      </c>
      <c r="W98" s="23" t="e">
        <f>IF($B$11&gt;8,V98-W97,"")</f>
        <v>#DIV/0!</v>
      </c>
      <c r="X98" s="23" t="e">
        <f>IF($B$11&gt;9,W98-X97,"")</f>
        <v>#DIV/0!</v>
      </c>
      <c r="Y98" s="23" t="e">
        <f>IF($B$11&gt;10,X98-Y97,"")</f>
        <v>#DIV/0!</v>
      </c>
      <c r="Z98" s="23" t="e">
        <f>IF($B$11&gt;11,Y98-Z97,"")</f>
        <v>#DIV/0!</v>
      </c>
      <c r="AA98" s="23" t="e">
        <f>IF($B$11&gt;12,Z98-AA97,"")</f>
        <v>#DIV/0!</v>
      </c>
      <c r="AB98" s="23" t="e">
        <f>IF($B$11&gt;13,AA98-AB97,"")</f>
        <v>#DIV/0!</v>
      </c>
      <c r="AC98" s="23" t="e">
        <f>IF($B$11&gt;14,AB98-AC97,"")</f>
        <v>#DIV/0!</v>
      </c>
      <c r="AD98" s="6"/>
      <c r="AE98" s="7"/>
    </row>
    <row r="99" spans="1:32" ht="12.75" hidden="1" customHeight="1" x14ac:dyDescent="0.25">
      <c r="A99" s="6"/>
      <c r="M99" s="230"/>
      <c r="N99" s="231"/>
      <c r="O99" s="23"/>
      <c r="P99" s="23"/>
      <c r="Q99" s="23"/>
      <c r="R99" s="23"/>
      <c r="S99" s="23"/>
      <c r="T99" s="276"/>
      <c r="U99" s="276"/>
      <c r="V99" s="23"/>
      <c r="W99" s="23"/>
      <c r="X99" s="23"/>
      <c r="Y99" s="23"/>
      <c r="Z99" s="23"/>
      <c r="AA99" s="23"/>
      <c r="AB99" s="23"/>
      <c r="AC99" s="23"/>
    </row>
    <row r="100" spans="1:32" ht="12.75" customHeight="1" x14ac:dyDescent="0.25">
      <c r="A100" s="6" t="str">
        <f>IF(Hulpblad_overig!$A$37=1,A94,IF(Hulpblad_overig!$A$37=2,A96,0))</f>
        <v>Rentelasten annuïteitenlening</v>
      </c>
      <c r="B100" s="25">
        <f>E33</f>
        <v>15</v>
      </c>
      <c r="C100" s="252" t="s">
        <v>70</v>
      </c>
      <c r="D100" s="252"/>
      <c r="E100" s="252"/>
      <c r="F100" s="252"/>
      <c r="G100" s="252"/>
      <c r="H100" s="252"/>
      <c r="I100" s="253"/>
      <c r="J100" s="253"/>
      <c r="K100" s="247"/>
      <c r="M100" s="230"/>
      <c r="N100" s="231"/>
      <c r="O100" s="23" t="e">
        <f>IF(Hulpblad_overig!$A$37=1,O94,IF(Hulpblad_overig!$A$37=2,O96,0))</f>
        <v>#DIV/0!</v>
      </c>
      <c r="P100" s="23" t="e">
        <f>IF(Hulpblad_overig!$A$37=1,P94,IF(Hulpblad_overig!$A$37=2,P96,0))</f>
        <v>#DIV/0!</v>
      </c>
      <c r="Q100" s="23" t="e">
        <f>IF(Hulpblad_overig!$A$37=1,Q94,IF(Hulpblad_overig!$A$37=2,Q96,0))</f>
        <v>#DIV/0!</v>
      </c>
      <c r="R100" s="23" t="e">
        <f>IF(Hulpblad_overig!$A$37=1,R94,IF(Hulpblad_overig!$A$37=2,R96,0))</f>
        <v>#DIV/0!</v>
      </c>
      <c r="S100" s="23" t="e">
        <f>IF(Hulpblad_overig!$A$37=1,S94,IF(Hulpblad_overig!$A$37=2,S96,0))</f>
        <v>#DIV/0!</v>
      </c>
      <c r="T100" s="23" t="e">
        <f>IF($B$11&gt;5,IF(Hulpblad_overig!$A$37=1,T94,IF(Hulpblad_overig!$A$37=2,T96,0)),"")</f>
        <v>#DIV/0!</v>
      </c>
      <c r="U100" s="23" t="e">
        <f>IF($B$11&gt;6,IF(Hulpblad_overig!$A$37=1,U94,IF(Hulpblad_overig!$A$37=2,U96,0)),"")</f>
        <v>#DIV/0!</v>
      </c>
      <c r="V100" s="23" t="e">
        <f>IF($B$11&gt;7,IF(Hulpblad_overig!$A$37=1,V94,IF(Hulpblad_overig!$A$37=2,V96,0)),"")</f>
        <v>#DIV/0!</v>
      </c>
      <c r="W100" s="23" t="e">
        <f>IF($B$11&gt;8,IF(Hulpblad_overig!$A$37=1,W94,IF(Hulpblad_overig!$A$37=2,W96,0)),"")</f>
        <v>#DIV/0!</v>
      </c>
      <c r="X100" s="23" t="e">
        <f>IF($B$11&gt;9,IF(Hulpblad_overig!$A$37=1,X94,IF(Hulpblad_overig!$A$37=2,X96,0)),"")</f>
        <v>#DIV/0!</v>
      </c>
      <c r="Y100" s="23" t="e">
        <f>IF($B$11&gt;10,IF(Hulpblad_overig!$A$37=1,Y94,IF(Hulpblad_overig!$A$37=2,Y96,0)),"")</f>
        <v>#DIV/0!</v>
      </c>
      <c r="Z100" s="23" t="e">
        <f>IF($B$11&gt;11,IF(Hulpblad_overig!$A$37=1,Z94,IF(Hulpblad_overig!$A$37=2,Z96,0)),"")</f>
        <v>#DIV/0!</v>
      </c>
      <c r="AA100" s="23" t="e">
        <f>IF($B$11&gt;12,IF(Hulpblad_overig!$A$37=1,AA94,IF(Hulpblad_overig!$A$37=2,AA96,0)),"")</f>
        <v>#DIV/0!</v>
      </c>
      <c r="AB100" s="23" t="e">
        <f>IF($B$11&gt;13,IF(Hulpblad_overig!$A$37=1,AB94,IF(Hulpblad_overig!$A$37=2,AB96,0)),"")</f>
        <v>#DIV/0!</v>
      </c>
      <c r="AC100" s="23" t="e">
        <f>IF($B$11&gt;14,IF(Hulpblad_overig!$A$37=1,AC94,IF(Hulpblad_overig!$A$37=2,AC96,0)),"")</f>
        <v>#DIV/0!</v>
      </c>
      <c r="AD100" s="7"/>
    </row>
    <row r="101" spans="1:32" ht="12.75" customHeight="1" x14ac:dyDescent="0.25">
      <c r="A101" s="6" t="str">
        <f>IF(Hulpblad_overig!$A$37=1,A95,IF(Hulpblad_overig!$A$37=2,A97,0))</f>
        <v>Aflossingen annuïteitenlening</v>
      </c>
      <c r="B101" s="28">
        <f>E33</f>
        <v>15</v>
      </c>
      <c r="C101" s="252" t="s">
        <v>70</v>
      </c>
      <c r="D101" s="252"/>
      <c r="E101" s="252"/>
      <c r="F101" s="252"/>
      <c r="G101" s="252"/>
      <c r="H101" s="252"/>
      <c r="I101" s="253"/>
      <c r="J101" s="253"/>
      <c r="K101" s="247"/>
      <c r="M101" s="230"/>
      <c r="N101" s="231"/>
      <c r="O101" s="23" t="e">
        <f>IF(Hulpblad_overig!$A$37=1,O95,IF(Hulpblad_overig!$A$37=2,O97,0))</f>
        <v>#DIV/0!</v>
      </c>
      <c r="P101" s="23" t="e">
        <f>IF(Hulpblad_overig!$A$37=1,P95,IF(Hulpblad_overig!$A$37=2,P97,0))</f>
        <v>#DIV/0!</v>
      </c>
      <c r="Q101" s="23" t="e">
        <f>IF(Hulpblad_overig!$A$37=1,Q95,IF(Hulpblad_overig!$A$37=2,Q97,0))</f>
        <v>#DIV/0!</v>
      </c>
      <c r="R101" s="23" t="e">
        <f>IF(Hulpblad_overig!$A$37=1,R95,IF(Hulpblad_overig!$A$37=2,R97,0))</f>
        <v>#DIV/0!</v>
      </c>
      <c r="S101" s="23" t="e">
        <f>IF(Hulpblad_overig!$A$37=1,S95,IF(Hulpblad_overig!$A$37=2,S97,0))</f>
        <v>#DIV/0!</v>
      </c>
      <c r="T101" s="23" t="e">
        <f>IF($B$11&gt;5,IF(Hulpblad_overig!$A$37=1,T95,IF(Hulpblad_overig!$A$37=2,T97,0)),"")</f>
        <v>#DIV/0!</v>
      </c>
      <c r="U101" s="23" t="e">
        <f>IF($B$11&gt;6,IF(Hulpblad_overig!$A$37=1,U95,IF(Hulpblad_overig!$A$37=2,U97,0)),"")</f>
        <v>#DIV/0!</v>
      </c>
      <c r="V101" s="23" t="e">
        <f>IF($B$11&gt;7,IF(Hulpblad_overig!$A$37=1,V95,IF(Hulpblad_overig!$A$37=2,V97,0)),"")</f>
        <v>#DIV/0!</v>
      </c>
      <c r="W101" s="23" t="e">
        <f>IF($B$11&gt;8,IF(Hulpblad_overig!$A$37=1,W95,IF(Hulpblad_overig!$A$37=2,W97,0)),"")</f>
        <v>#DIV/0!</v>
      </c>
      <c r="X101" s="23" t="e">
        <f>IF($B$11&gt;9,IF(Hulpblad_overig!$A$37=1,X95,IF(Hulpblad_overig!$A$37=2,X97,0)),"")</f>
        <v>#DIV/0!</v>
      </c>
      <c r="Y101" s="23" t="e">
        <f>IF($B$11&gt;10,IF(Hulpblad_overig!$A$37=1,Y95,IF(Hulpblad_overig!$A$37=2,Y97,0)),"")</f>
        <v>#DIV/0!</v>
      </c>
      <c r="Z101" s="23" t="e">
        <f>IF($B$11&gt;11,IF(Hulpblad_overig!$A$37=1,Z95,IF(Hulpblad_overig!$A$37=2,Z97,0)),"")</f>
        <v>#DIV/0!</v>
      </c>
      <c r="AA101" s="23" t="e">
        <f>IF($B$11&gt;12,IF(Hulpblad_overig!$A$37=1,AA95,IF(Hulpblad_overig!$A$37=2,AA97,0)),"")</f>
        <v>#DIV/0!</v>
      </c>
      <c r="AB101" s="23" t="e">
        <f>IF($B$11&gt;13,IF(Hulpblad_overig!$A$37=1,AB95,IF(Hulpblad_overig!$A$37=2,AB97,0)),"")</f>
        <v>#DIV/0!</v>
      </c>
      <c r="AC101" s="23" t="e">
        <f>IF($B$11&gt;14,IF(Hulpblad_overig!$A$37=1,AC95,IF(Hulpblad_overig!$A$37=2,AC97,0)),"")</f>
        <v>#DIV/0!</v>
      </c>
      <c r="AD101" s="7"/>
    </row>
    <row r="102" spans="1:32" ht="12.75" customHeight="1" x14ac:dyDescent="0.25">
      <c r="A102" s="6"/>
      <c r="M102" s="230"/>
      <c r="N102" s="231"/>
      <c r="O102" s="231"/>
      <c r="P102" s="231"/>
      <c r="Q102" s="231"/>
      <c r="R102" s="231"/>
      <c r="S102" s="231"/>
      <c r="T102" s="276"/>
      <c r="U102" s="276"/>
      <c r="V102" s="23"/>
      <c r="W102" s="23"/>
      <c r="X102" s="23"/>
      <c r="Y102" s="276"/>
      <c r="Z102" s="276"/>
      <c r="AA102" s="231"/>
      <c r="AB102" s="231"/>
      <c r="AC102" s="231"/>
    </row>
    <row r="103" spans="1:32" s="15" customFormat="1" ht="12.75" customHeight="1" x14ac:dyDescent="0.2">
      <c r="A103" s="27" t="s">
        <v>71</v>
      </c>
      <c r="N103" s="19">
        <f t="shared" ref="N103:S103" si="33">N90+N93+N100</f>
        <v>0</v>
      </c>
      <c r="O103" s="19" t="e">
        <f t="shared" si="33"/>
        <v>#DIV/0!</v>
      </c>
      <c r="P103" s="19" t="e">
        <f t="shared" si="33"/>
        <v>#DIV/0!</v>
      </c>
      <c r="Q103" s="19" t="e">
        <f t="shared" si="33"/>
        <v>#DIV/0!</v>
      </c>
      <c r="R103" s="19" t="e">
        <f t="shared" si="33"/>
        <v>#DIV/0!</v>
      </c>
      <c r="S103" s="19" t="e">
        <f t="shared" si="33"/>
        <v>#DIV/0!</v>
      </c>
      <c r="T103" s="19" t="e">
        <f>IF($B$11&gt;5,T90+T93+T100,"")</f>
        <v>#DIV/0!</v>
      </c>
      <c r="U103" s="19" t="e">
        <f>IF($B$11&gt;6,U90+U93+U100,"")</f>
        <v>#DIV/0!</v>
      </c>
      <c r="V103" s="19" t="e">
        <f>IF($B$11&gt;7,V90+V93+V100,"")</f>
        <v>#DIV/0!</v>
      </c>
      <c r="W103" s="19" t="e">
        <f>IF($B$11&gt;8,W90+W93+W100,"")</f>
        <v>#DIV/0!</v>
      </c>
      <c r="X103" s="19" t="e">
        <f>IF($B$11&gt;9,X90+X93+X100,"")</f>
        <v>#DIV/0!</v>
      </c>
      <c r="Y103" s="19" t="e">
        <f>IF($B$11&gt;10,Y90+Y93+Y100,"")</f>
        <v>#DIV/0!</v>
      </c>
      <c r="Z103" s="19" t="e">
        <f>IF($B$11&gt;11,Z90+Z93+Z100,"")</f>
        <v>#DIV/0!</v>
      </c>
      <c r="AA103" s="19" t="e">
        <f>IF($B$11&gt;12,AA90+AA93+AA100,"")</f>
        <v>#DIV/0!</v>
      </c>
      <c r="AB103" s="19" t="e">
        <f>IF($B$11&gt;13,AB90+AB93+AB100,"")</f>
        <v>#DIV/0!</v>
      </c>
      <c r="AC103" s="19" t="e">
        <f>IF($B$11&gt;14,AC90+AC93+AC100,"")</f>
        <v>#DIV/0!</v>
      </c>
    </row>
    <row r="104" spans="1:32" s="15" customFormat="1" ht="12.75" customHeight="1" x14ac:dyDescent="0.2">
      <c r="N104" s="19"/>
      <c r="O104" s="19"/>
      <c r="P104" s="19"/>
      <c r="Q104" s="19"/>
      <c r="R104" s="19"/>
      <c r="S104" s="19"/>
      <c r="T104" s="275"/>
      <c r="U104" s="275"/>
      <c r="V104" s="19"/>
      <c r="W104" s="19"/>
      <c r="X104" s="19"/>
      <c r="Y104" s="19"/>
      <c r="Z104" s="19"/>
      <c r="AA104" s="19"/>
      <c r="AB104" s="19"/>
      <c r="AC104" s="19"/>
    </row>
    <row r="105" spans="1:32" s="15" customFormat="1" ht="12.75" customHeight="1" x14ac:dyDescent="0.2">
      <c r="A105" s="15" t="s">
        <v>72</v>
      </c>
      <c r="N105" s="19">
        <f t="shared" ref="N105:S105" si="34">N66-N103</f>
        <v>0</v>
      </c>
      <c r="O105" s="19" t="e">
        <f t="shared" si="34"/>
        <v>#DIV/0!</v>
      </c>
      <c r="P105" s="19" t="e">
        <f t="shared" si="34"/>
        <v>#DIV/0!</v>
      </c>
      <c r="Q105" s="19" t="e">
        <f t="shared" si="34"/>
        <v>#DIV/0!</v>
      </c>
      <c r="R105" s="19" t="e">
        <f t="shared" si="34"/>
        <v>#DIV/0!</v>
      </c>
      <c r="S105" s="19" t="e">
        <f t="shared" si="34"/>
        <v>#DIV/0!</v>
      </c>
      <c r="T105" s="19" t="e">
        <f>IF($B$11&gt;5,T66-T103,"")</f>
        <v>#DIV/0!</v>
      </c>
      <c r="U105" s="19" t="e">
        <f>IF($B$11&gt;6,U66-U103,"")</f>
        <v>#DIV/0!</v>
      </c>
      <c r="V105" s="19" t="e">
        <f>IF($B$11&gt;7,V66-V103,"")</f>
        <v>#DIV/0!</v>
      </c>
      <c r="W105" s="19" t="e">
        <f>IF($B$11&gt;8,W66-W103,"")</f>
        <v>#DIV/0!</v>
      </c>
      <c r="X105" s="19" t="e">
        <f>IF($B$11&gt;9,X66-X103,"")</f>
        <v>#DIV/0!</v>
      </c>
      <c r="Y105" s="19" t="e">
        <f>IF($B$11&gt;10,Y66-Y103,"")</f>
        <v>#DIV/0!</v>
      </c>
      <c r="Z105" s="19" t="e">
        <f>IF($B$11&gt;11,Z66-Z103,"")</f>
        <v>#DIV/0!</v>
      </c>
      <c r="AA105" s="19" t="e">
        <f>IF($B$11&gt;12,AA66-AA103,"")</f>
        <v>#DIV/0!</v>
      </c>
      <c r="AB105" s="19" t="e">
        <f>IF($B$11&gt;13,AB66-AB103,"")</f>
        <v>#DIV/0!</v>
      </c>
      <c r="AC105" s="19" t="e">
        <f>IF($B$11&gt;14,AC66-AC103,"")</f>
        <v>#DIV/0!</v>
      </c>
    </row>
    <row r="106" spans="1:32" s="15" customFormat="1" ht="12.75" customHeight="1" x14ac:dyDescent="0.2">
      <c r="N106" s="19"/>
      <c r="O106" s="19"/>
      <c r="P106" s="19"/>
      <c r="Q106" s="19"/>
      <c r="R106" s="19"/>
      <c r="S106" s="19"/>
      <c r="T106" s="275"/>
      <c r="U106" s="275"/>
      <c r="V106" s="19"/>
      <c r="W106" s="19"/>
      <c r="X106" s="19"/>
      <c r="Y106" s="19"/>
      <c r="Z106" s="19"/>
      <c r="AA106" s="19"/>
      <c r="AB106" s="19"/>
      <c r="AC106" s="19"/>
    </row>
    <row r="107" spans="1:32" ht="12.75" customHeight="1" x14ac:dyDescent="0.25">
      <c r="A107" s="6" t="s">
        <v>73</v>
      </c>
      <c r="L107" s="79">
        <v>0</v>
      </c>
      <c r="M107" s="234"/>
      <c r="N107" s="231"/>
      <c r="O107" s="231"/>
      <c r="P107" s="231"/>
      <c r="Q107" s="231"/>
      <c r="R107" s="231"/>
      <c r="S107" s="231"/>
      <c r="T107" s="276"/>
      <c r="U107" s="276"/>
      <c r="V107" s="23"/>
      <c r="W107" s="23"/>
      <c r="X107" s="23"/>
      <c r="Y107" s="276"/>
      <c r="Z107" s="276"/>
      <c r="AA107" s="231"/>
      <c r="AB107" s="231"/>
      <c r="AC107" s="231"/>
    </row>
    <row r="108" spans="1:32" ht="12.75" customHeight="1" x14ac:dyDescent="0.25">
      <c r="A108" s="6" t="s">
        <v>74</v>
      </c>
      <c r="K108" s="15"/>
      <c r="M108" s="234"/>
      <c r="N108" s="231"/>
      <c r="O108" s="231" t="e">
        <f>IF(AND(O105&gt;0,N109&gt;0),MIN(O105,N109),0)</f>
        <v>#DIV/0!</v>
      </c>
      <c r="P108" s="231" t="e">
        <f t="shared" ref="P108:S108" si="35">IF(AND(P105&gt;0,O109&gt;0),MIN(P105,O109),0)</f>
        <v>#DIV/0!</v>
      </c>
      <c r="Q108" s="231" t="e">
        <f t="shared" si="35"/>
        <v>#DIV/0!</v>
      </c>
      <c r="R108" s="231" t="e">
        <f t="shared" si="35"/>
        <v>#DIV/0!</v>
      </c>
      <c r="S108" s="231" t="e">
        <f t="shared" si="35"/>
        <v>#DIV/0!</v>
      </c>
      <c r="T108" s="23" t="e">
        <f>IF($B$11&gt;5,IF(AND(T105&gt;0,S109&gt;0),MIN(T105,S109),0),"")</f>
        <v>#DIV/0!</v>
      </c>
      <c r="U108" s="23" t="e">
        <f>IF($B$11&gt;6,IF(AND(U105&gt;0,T109&gt;0),MIN(U105,T109),0),"")</f>
        <v>#DIV/0!</v>
      </c>
      <c r="V108" s="23" t="e">
        <f>IF($B$11&gt;7,IF(AND(V105&gt;0,U109&gt;0),MIN(V105,U109),0),"")</f>
        <v>#DIV/0!</v>
      </c>
      <c r="W108" s="23" t="e">
        <f>IF($B$11&gt;8,IF(AND(W105&gt;0,V109&gt;0),MIN(W105,V109),0),"")</f>
        <v>#DIV/0!</v>
      </c>
      <c r="X108" s="23" t="e">
        <f>IF($B$11&gt;9,IF(AND(X105&gt;0,W109&gt;0),MIN(X105,W109),0),"")</f>
        <v>#DIV/0!</v>
      </c>
      <c r="Y108" s="23" t="e">
        <f>IF($B$11&gt;10,IF(AND(Y105&gt;0,X109&gt;0),MIN(Y105,X109),0),"")</f>
        <v>#DIV/0!</v>
      </c>
      <c r="Z108" s="23" t="e">
        <f>IF($B$11&gt;11,IF(AND(Z105&gt;0,Y109&gt;0),MIN(Z105,Y109),0),"")</f>
        <v>#DIV/0!</v>
      </c>
      <c r="AA108" s="23" t="e">
        <f>IF($B$11&gt;12,IF(AND(AA105&gt;0,Z109&gt;0),MIN(AA105,Z109),0),"")</f>
        <v>#DIV/0!</v>
      </c>
      <c r="AB108" s="23" t="e">
        <f>IF($B$11&gt;13,IF(AND(AB105&gt;0,AA109&gt;0),MIN(AB105,AA109),0),"")</f>
        <v>#DIV/0!</v>
      </c>
      <c r="AC108" s="23" t="e">
        <f>IF($B$11&gt;14,IF(AND(AC105&gt;0,AB109&gt;0),MIN(AC105,AB109),0),"")</f>
        <v>#DIV/0!</v>
      </c>
    </row>
    <row r="109" spans="1:32" ht="12.75" customHeight="1" x14ac:dyDescent="0.25">
      <c r="A109" s="6" t="s">
        <v>75</v>
      </c>
      <c r="M109" s="231"/>
      <c r="N109" s="231">
        <f>L107</f>
        <v>0</v>
      </c>
      <c r="O109" s="231" t="e">
        <f>IF(O35&lt;10,IF((N109-O108)&lt;0,0,(N109-O108)),0)</f>
        <v>#DIV/0!</v>
      </c>
      <c r="P109" s="231" t="e">
        <f>IF(P35&lt;10,IF((O109-P108)&lt;0,0,(O109-P108)),0)</f>
        <v>#DIV/0!</v>
      </c>
      <c r="Q109" s="231" t="e">
        <f>IF(Q35&lt;10,IF((P109-Q108)&lt;0,0,(P109-Q108)),0)</f>
        <v>#DIV/0!</v>
      </c>
      <c r="R109" s="231" t="e">
        <f>IF(R35&lt;10,IF((Q109-R108)&lt;0,0,(Q109-R108)),0)</f>
        <v>#DIV/0!</v>
      </c>
      <c r="S109" s="231" t="e">
        <f>IF(S35&lt;10,IF((R109-S108)&lt;0,0,(R109-S108)),0)</f>
        <v>#DIV/0!</v>
      </c>
      <c r="T109" s="23" t="e">
        <f>IF($B$11&gt;5,IF(T35&lt;10,IF((S109-T108)&lt;0,0,(S109-T108)),0),"")</f>
        <v>#DIV/0!</v>
      </c>
      <c r="U109" s="23" t="e">
        <f>IF($B$11&gt;6,IF(U35&lt;10,IF((T109-U108)&lt;0,0,(T109-U108)),0),"")</f>
        <v>#DIV/0!</v>
      </c>
      <c r="V109" s="23" t="e">
        <f>IF($B$11&gt;7,IF(V35&lt;10,IF((U109-V108)&lt;0,0,(U109-V108)),0),"")</f>
        <v>#DIV/0!</v>
      </c>
      <c r="W109" s="23" t="e">
        <f>IF($B$11&gt;8,IF(W35&lt;10,IF((V109-W108)&lt;0,0,(V109-W108)),0),"")</f>
        <v>#DIV/0!</v>
      </c>
      <c r="X109" s="23">
        <f>IF($B$11&gt;9,IF(X35&lt;10,IF((W109-X108)&lt;0,0,(W109-X108)),0),"")</f>
        <v>0</v>
      </c>
      <c r="Y109" s="23">
        <f>IF($B$11&gt;10,IF(Y35&lt;10,IF((X109-Y108)&lt;0,0,(X109-Y108)),0),"")</f>
        <v>0</v>
      </c>
      <c r="Z109" s="23">
        <f>IF($B$11&gt;11,IF(Z35&lt;10,IF((Y109-Z108)&lt;0,0,(Y109-Z108)),0),"")</f>
        <v>0</v>
      </c>
      <c r="AA109" s="23">
        <f>IF($B$11&gt;12,IF(AA35&lt;10,IF((Z109-AA108)&lt;0,0,(Z109-AA108)),0),"")</f>
        <v>0</v>
      </c>
      <c r="AB109" s="23">
        <f>IF($B$11&gt;13,IF(AB35&lt;10,IF((AA109-AB108)&lt;0,0,(AA109-AB108)),0),"")</f>
        <v>0</v>
      </c>
      <c r="AC109" s="23">
        <f>IF($B$11&gt;14,IF(AC35&lt;10,IF((AB109-AC108)&lt;0,0,(AB109-AC108)),0),"")</f>
        <v>0</v>
      </c>
    </row>
    <row r="110" spans="1:32" s="15" customFormat="1" ht="12.75" customHeight="1" x14ac:dyDescent="0.2">
      <c r="A110" s="6" t="s">
        <v>76</v>
      </c>
      <c r="B110" s="6"/>
      <c r="C110" s="6"/>
      <c r="D110" s="6"/>
      <c r="E110" s="6"/>
      <c r="F110" s="6"/>
      <c r="G110" s="6"/>
      <c r="H110" s="6"/>
      <c r="I110" s="6"/>
      <c r="J110" s="6"/>
      <c r="K110" s="6"/>
      <c r="L110" s="6"/>
      <c r="M110" s="6"/>
      <c r="N110" s="23"/>
      <c r="O110" s="23">
        <f>IF(N105&lt;0,-N105,0)</f>
        <v>0</v>
      </c>
      <c r="P110" s="23" t="e">
        <f t="shared" ref="P110:S110" si="36">IF(O112&lt;0,-O112,0)</f>
        <v>#DIV/0!</v>
      </c>
      <c r="Q110" s="23" t="e">
        <f t="shared" si="36"/>
        <v>#DIV/0!</v>
      </c>
      <c r="R110" s="23" t="e">
        <f t="shared" si="36"/>
        <v>#DIV/0!</v>
      </c>
      <c r="S110" s="23" t="e">
        <f t="shared" si="36"/>
        <v>#DIV/0!</v>
      </c>
      <c r="T110" s="23" t="e">
        <f>IF($B$11&gt;5,IF(S112&lt;0,-S112,0),"")</f>
        <v>#DIV/0!</v>
      </c>
      <c r="U110" s="23" t="e">
        <f>IF($B$11&gt;6,IF(T112&lt;0,-T112,0),"")</f>
        <v>#DIV/0!</v>
      </c>
      <c r="V110" s="23" t="e">
        <f>IF($B$11&gt;7,IF(U112&lt;0,-U112,0),"")</f>
        <v>#DIV/0!</v>
      </c>
      <c r="W110" s="23" t="e">
        <f>IF($B$11&gt;8,IF(V112&lt;0,-V112,0),"")</f>
        <v>#DIV/0!</v>
      </c>
      <c r="X110" s="23" t="e">
        <f>IF($B$11&gt;9,IF(W112&lt;0,-W112,0),"")</f>
        <v>#DIV/0!</v>
      </c>
      <c r="Y110" s="23" t="e">
        <f>IF($B$11&gt;10,IF(X112&lt;0,-X112,0),"")</f>
        <v>#DIV/0!</v>
      </c>
      <c r="Z110" s="23" t="e">
        <f>IF($B$11&gt;11,IF(Y112&lt;0,-Y112,0),"")</f>
        <v>#DIV/0!</v>
      </c>
      <c r="AA110" s="23" t="e">
        <f>IF($B$11&gt;12,IF(Z112&lt;0,-Z112,0),"")</f>
        <v>#DIV/0!</v>
      </c>
      <c r="AB110" s="23" t="e">
        <f>IF($B$11&gt;13,IF(AA112&lt;0,-AA112,0),"")</f>
        <v>#DIV/0!</v>
      </c>
      <c r="AC110" s="23" t="e">
        <f>IF($B$11&gt;14,IF(AB112&lt;0,-AB112,0),"")</f>
        <v>#DIV/0!</v>
      </c>
    </row>
    <row r="111" spans="1:32" ht="12.75" customHeight="1" x14ac:dyDescent="0.25">
      <c r="A111" s="6"/>
      <c r="M111" s="231"/>
      <c r="N111" s="231"/>
      <c r="O111" s="231"/>
      <c r="P111" s="231"/>
      <c r="Q111" s="231"/>
      <c r="R111" s="231"/>
      <c r="S111" s="231"/>
      <c r="T111" s="276"/>
      <c r="U111" s="276"/>
      <c r="V111" s="23"/>
      <c r="W111" s="23"/>
      <c r="X111" s="23"/>
      <c r="Y111" s="276"/>
      <c r="Z111" s="276"/>
      <c r="AA111" s="276"/>
      <c r="AB111" s="276"/>
      <c r="AC111" s="276"/>
    </row>
    <row r="112" spans="1:32" s="15" customFormat="1" ht="12.75" customHeight="1" x14ac:dyDescent="0.2">
      <c r="A112" s="15" t="s">
        <v>77</v>
      </c>
      <c r="N112" s="19">
        <f>N105-N108</f>
        <v>0</v>
      </c>
      <c r="O112" s="19" t="e">
        <f>O105-O108-O110</f>
        <v>#DIV/0!</v>
      </c>
      <c r="P112" s="19" t="e">
        <f>P105-P108-P110</f>
        <v>#DIV/0!</v>
      </c>
      <c r="Q112" s="19" t="e">
        <f t="shared" ref="Q112:S112" si="37">Q105-Q108-Q110</f>
        <v>#DIV/0!</v>
      </c>
      <c r="R112" s="19" t="e">
        <f t="shared" si="37"/>
        <v>#DIV/0!</v>
      </c>
      <c r="S112" s="19" t="e">
        <f t="shared" si="37"/>
        <v>#DIV/0!</v>
      </c>
      <c r="T112" s="19" t="e">
        <f>IF($B$11&gt;5,T105-T108-T110,"")</f>
        <v>#DIV/0!</v>
      </c>
      <c r="U112" s="19" t="e">
        <f>IF($B$11&gt;6,U105-U108-U110,"")</f>
        <v>#DIV/0!</v>
      </c>
      <c r="V112" s="19" t="e">
        <f>IF($B$11&gt;7,V105-V108-V110,"")</f>
        <v>#DIV/0!</v>
      </c>
      <c r="W112" s="19" t="e">
        <f>IF($B$11&gt;8,W105-W108-W110,"")</f>
        <v>#DIV/0!</v>
      </c>
      <c r="X112" s="19" t="e">
        <f>IF($B$11&gt;9,X105-X108-X110,"")</f>
        <v>#DIV/0!</v>
      </c>
      <c r="Y112" s="19" t="e">
        <f>IF($B$11&gt;10,Y105-Y108-Y110,"")</f>
        <v>#DIV/0!</v>
      </c>
      <c r="Z112" s="19" t="e">
        <f>IF($B$11&gt;11,Z105-Z108-Z110,"")</f>
        <v>#DIV/0!</v>
      </c>
      <c r="AA112" s="19" t="e">
        <f>IF($B$11&gt;12,AA105-AA108-AA110,"")</f>
        <v>#DIV/0!</v>
      </c>
      <c r="AB112" s="19" t="e">
        <f>IF($B$11&gt;13,AB105-AB108-AB110,"")</f>
        <v>#DIV/0!</v>
      </c>
      <c r="AC112" s="19" t="e">
        <f>IF($B$11&gt;14,AC105-AC108-AC110,"")</f>
        <v>#DIV/0!</v>
      </c>
    </row>
    <row r="113" spans="1:30" ht="12.75" customHeight="1" x14ac:dyDescent="0.25">
      <c r="M113" s="230"/>
      <c r="N113" s="231"/>
      <c r="O113" s="231"/>
      <c r="P113" s="231"/>
      <c r="Q113" s="231"/>
      <c r="R113" s="231"/>
      <c r="S113" s="231"/>
      <c r="T113" s="231"/>
      <c r="U113" s="231"/>
      <c r="V113" s="23"/>
      <c r="W113" s="23"/>
      <c r="X113" s="23"/>
      <c r="Y113" s="276"/>
      <c r="Z113" s="276"/>
      <c r="AA113" s="276"/>
      <c r="AB113" s="276"/>
      <c r="AC113" s="276"/>
    </row>
    <row r="114" spans="1:30" ht="12.75" customHeight="1" x14ac:dyDescent="0.25">
      <c r="A114" s="6" t="s">
        <v>78</v>
      </c>
      <c r="M114" s="230"/>
      <c r="N114" s="231"/>
      <c r="O114" s="231"/>
      <c r="P114" s="231"/>
      <c r="Q114" s="231"/>
      <c r="R114" s="231"/>
      <c r="S114" s="231"/>
      <c r="T114" s="231"/>
      <c r="U114" s="231"/>
      <c r="V114" s="23"/>
      <c r="W114" s="23"/>
      <c r="X114" s="23"/>
      <c r="Y114" s="276"/>
      <c r="Z114" s="276"/>
      <c r="AA114" s="276"/>
      <c r="AB114" s="276"/>
      <c r="AC114" s="276"/>
    </row>
    <row r="115" spans="1:30" ht="12.75" customHeight="1" x14ac:dyDescent="0.25">
      <c r="L115" s="74">
        <v>0.25800000000000001</v>
      </c>
      <c r="M115" s="230"/>
      <c r="N115" s="231"/>
      <c r="O115" s="231"/>
      <c r="P115" s="231"/>
      <c r="Q115" s="231"/>
      <c r="R115" s="231"/>
      <c r="S115" s="231"/>
      <c r="T115" s="231"/>
      <c r="U115" s="231"/>
      <c r="V115" s="23"/>
      <c r="W115" s="23"/>
      <c r="X115" s="23"/>
      <c r="Y115" s="276"/>
      <c r="Z115" s="276"/>
      <c r="AA115" s="276"/>
      <c r="AB115" s="276"/>
      <c r="AC115" s="276"/>
    </row>
    <row r="116" spans="1:30" ht="12.75" customHeight="1" x14ac:dyDescent="0.25">
      <c r="A116" s="3" t="s">
        <v>79</v>
      </c>
      <c r="C116" s="217"/>
      <c r="D116" s="18"/>
      <c r="E116" s="18"/>
      <c r="F116" s="18"/>
      <c r="G116" s="18"/>
      <c r="H116" s="18"/>
      <c r="I116" s="18"/>
      <c r="J116" s="18"/>
      <c r="M116" s="230"/>
      <c r="N116" s="231">
        <f>N112*$L$115</f>
        <v>0</v>
      </c>
      <c r="O116" s="231" t="e">
        <f t="shared" ref="O116:S116" si="38">IF(O112&gt;0,O112*$L$115,0)</f>
        <v>#DIV/0!</v>
      </c>
      <c r="P116" s="231" t="e">
        <f t="shared" si="38"/>
        <v>#DIV/0!</v>
      </c>
      <c r="Q116" s="231" t="e">
        <f t="shared" si="38"/>
        <v>#DIV/0!</v>
      </c>
      <c r="R116" s="231" t="e">
        <f t="shared" si="38"/>
        <v>#DIV/0!</v>
      </c>
      <c r="S116" s="231" t="e">
        <f t="shared" si="38"/>
        <v>#DIV/0!</v>
      </c>
      <c r="T116" s="23" t="e">
        <f>IF($B$11&gt;5,IF(T112&gt;0,T112*$L$115,0),"")</f>
        <v>#DIV/0!</v>
      </c>
      <c r="U116" s="23" t="e">
        <f>IF($B$11&gt;6,IF(U112&gt;0,U112*$L$115,0),"")</f>
        <v>#DIV/0!</v>
      </c>
      <c r="V116" s="23" t="e">
        <f>IF($B$11&gt;7,IF(V112&gt;0,V112*$L$115,0),"")</f>
        <v>#DIV/0!</v>
      </c>
      <c r="W116" s="23" t="e">
        <f>IF($B$11&gt;8,IF(W112&gt;0,W112*$L$115,0),"")</f>
        <v>#DIV/0!</v>
      </c>
      <c r="X116" s="23" t="e">
        <f>IF($B$11&gt;9,IF(X112&gt;0,X112*$L$115,0),"")</f>
        <v>#DIV/0!</v>
      </c>
      <c r="Y116" s="23" t="e">
        <f>IF($B$11&gt;10,IF(Y112&gt;0,Y112*$L$115,0),"")</f>
        <v>#DIV/0!</v>
      </c>
      <c r="Z116" s="23" t="e">
        <f>IF($B$11&gt;11,IF(Z112&gt;0,Z112*$L$115,0),"")</f>
        <v>#DIV/0!</v>
      </c>
      <c r="AA116" s="23" t="e">
        <f>IF($B$11&gt;12,IF(AA112&gt;0,AA112*$L$115,0),"")</f>
        <v>#DIV/0!</v>
      </c>
      <c r="AB116" s="23" t="e">
        <f>IF($B$11&gt;13,IF(AB112&gt;0,AB112*$L$115,0),"")</f>
        <v>#DIV/0!</v>
      </c>
      <c r="AC116" s="23" t="e">
        <f>IF($B$11&gt;14,IF(AC112&gt;0,AC112*$L$115,0),"")</f>
        <v>#DIV/0!</v>
      </c>
    </row>
    <row r="117" spans="1:30" s="15" customFormat="1" ht="12.75" customHeight="1" x14ac:dyDescent="0.2">
      <c r="A117" s="15" t="s">
        <v>80</v>
      </c>
      <c r="N117" s="19">
        <f t="shared" ref="N117:S117" si="39">N105-N116</f>
        <v>0</v>
      </c>
      <c r="O117" s="19" t="e">
        <f t="shared" si="39"/>
        <v>#DIV/0!</v>
      </c>
      <c r="P117" s="19" t="e">
        <f t="shared" si="39"/>
        <v>#DIV/0!</v>
      </c>
      <c r="Q117" s="19" t="e">
        <f t="shared" si="39"/>
        <v>#DIV/0!</v>
      </c>
      <c r="R117" s="19" t="e">
        <f t="shared" si="39"/>
        <v>#DIV/0!</v>
      </c>
      <c r="S117" s="19" t="e">
        <f t="shared" si="39"/>
        <v>#DIV/0!</v>
      </c>
      <c r="T117" s="19" t="e">
        <f>IF($B$11&gt;5,T105-T116,"")</f>
        <v>#DIV/0!</v>
      </c>
      <c r="U117" s="19" t="e">
        <f>IF($B$11&gt;6,U105-U116,"")</f>
        <v>#DIV/0!</v>
      </c>
      <c r="V117" s="19" t="e">
        <f>IF($B$11&gt;7,V105-V116,"")</f>
        <v>#DIV/0!</v>
      </c>
      <c r="W117" s="19" t="e">
        <f>IF($B$11&gt;8,W105-W116,"")</f>
        <v>#DIV/0!</v>
      </c>
      <c r="X117" s="19" t="e">
        <f>IF($B$11&gt;9,X105-X116,"")</f>
        <v>#DIV/0!</v>
      </c>
      <c r="Y117" s="19" t="e">
        <f>IF($B$11&gt;10,Y105-Y116,"")</f>
        <v>#DIV/0!</v>
      </c>
      <c r="Z117" s="19" t="e">
        <f>IF($B$11&gt;11,Z105-Z116,"")</f>
        <v>#DIV/0!</v>
      </c>
      <c r="AA117" s="19" t="e">
        <f>IF($B$11&gt;12,AA105-AA116,"")</f>
        <v>#DIV/0!</v>
      </c>
      <c r="AB117" s="19" t="e">
        <f>IF($B$11&gt;13,AB105-AB116,"")</f>
        <v>#DIV/0!</v>
      </c>
      <c r="AC117" s="19" t="e">
        <f>IF($B$11&gt;14,AC105-AC116,"")</f>
        <v>#DIV/0!</v>
      </c>
    </row>
    <row r="118" spans="1:30" s="15" customFormat="1" ht="12.75" customHeight="1" x14ac:dyDescent="0.2">
      <c r="N118" s="19"/>
      <c r="O118" s="19"/>
      <c r="P118" s="19"/>
      <c r="Q118" s="19"/>
      <c r="R118" s="19"/>
      <c r="S118" s="19"/>
      <c r="T118" s="275"/>
      <c r="U118" s="275"/>
      <c r="V118" s="19"/>
      <c r="W118" s="19"/>
      <c r="X118" s="19"/>
      <c r="Y118" s="19"/>
      <c r="Z118" s="19"/>
      <c r="AA118" s="19"/>
      <c r="AB118" s="19"/>
      <c r="AC118" s="19"/>
    </row>
    <row r="119" spans="1:30" s="15" customFormat="1" ht="12.75" customHeight="1" x14ac:dyDescent="0.2">
      <c r="A119" s="15" t="s">
        <v>81</v>
      </c>
      <c r="N119" s="19">
        <f>N117+N93+N100-N24</f>
        <v>0</v>
      </c>
      <c r="O119" s="19" t="e">
        <f t="shared" ref="O119:S119" si="40">+O117+O93+O100</f>
        <v>#DIV/0!</v>
      </c>
      <c r="P119" s="19" t="e">
        <f t="shared" si="40"/>
        <v>#DIV/0!</v>
      </c>
      <c r="Q119" s="19" t="e">
        <f t="shared" si="40"/>
        <v>#DIV/0!</v>
      </c>
      <c r="R119" s="19" t="e">
        <f t="shared" si="40"/>
        <v>#DIV/0!</v>
      </c>
      <c r="S119" s="19" t="e">
        <f t="shared" si="40"/>
        <v>#DIV/0!</v>
      </c>
      <c r="T119" s="19" t="e">
        <f>IF($B$11&gt;5,T117+T93+T100,"")</f>
        <v>#DIV/0!</v>
      </c>
      <c r="U119" s="19" t="e">
        <f>IF($B$11&gt;6,U117+U93+U100,"")</f>
        <v>#DIV/0!</v>
      </c>
      <c r="V119" s="19" t="e">
        <f>IF($B$11&gt;7,V117+V93+V100,"")</f>
        <v>#DIV/0!</v>
      </c>
      <c r="W119" s="19" t="e">
        <f>IF($B$11&gt;8,+W117+W93+W100,"")</f>
        <v>#DIV/0!</v>
      </c>
      <c r="X119" s="19" t="e">
        <f>IF($B$11&gt;9,+X117+X93+X100,"")</f>
        <v>#DIV/0!</v>
      </c>
      <c r="Y119" s="19" t="e">
        <f>IF($B$11&gt;10,+Y117+Y93+Y100,"")</f>
        <v>#DIV/0!</v>
      </c>
      <c r="Z119" s="19" t="e">
        <f>IF($B$11&gt;11,+Z117+Z93+Z100,"")</f>
        <v>#DIV/0!</v>
      </c>
      <c r="AA119" s="19" t="e">
        <f>IF($B$11&gt;12,+AA117+AA93+AA100,"")</f>
        <v>#DIV/0!</v>
      </c>
      <c r="AB119" s="19" t="e">
        <f>IF($B$11&gt;13,+AB117+AB93+AB100,"")</f>
        <v>#DIV/0!</v>
      </c>
      <c r="AC119" s="19" t="e">
        <f>IF($B$11&gt;14,+AC117+AC93+AC100,"")</f>
        <v>#DIV/0!</v>
      </c>
      <c r="AD119" s="20"/>
    </row>
    <row r="120" spans="1:30" ht="12.75" customHeight="1" thickBot="1" x14ac:dyDescent="0.3">
      <c r="M120" s="230"/>
      <c r="N120" s="231"/>
      <c r="O120" s="231"/>
      <c r="P120" s="231"/>
      <c r="Q120" s="231"/>
      <c r="R120" s="231"/>
      <c r="S120" s="231"/>
      <c r="T120" s="276"/>
      <c r="U120" s="276"/>
      <c r="V120" s="23"/>
      <c r="W120" s="23"/>
      <c r="X120" s="23"/>
      <c r="Y120" s="276"/>
      <c r="Z120" s="276"/>
      <c r="AA120" s="276"/>
      <c r="AB120" s="276"/>
      <c r="AC120" s="276"/>
    </row>
    <row r="121" spans="1:30" ht="24.95" customHeight="1" thickBot="1" x14ac:dyDescent="0.3">
      <c r="A121" s="281" t="s">
        <v>82</v>
      </c>
      <c r="B121" s="282"/>
      <c r="C121" s="282"/>
      <c r="D121" s="283"/>
      <c r="E121" s="283"/>
      <c r="F121" s="283"/>
      <c r="G121" s="283"/>
      <c r="H121" s="283"/>
      <c r="I121" s="283"/>
      <c r="J121" s="283"/>
      <c r="K121" s="283"/>
      <c r="L121" s="284" t="e">
        <f>IRR(N119:AC119,0%)</f>
        <v>#VALUE!</v>
      </c>
      <c r="M121" s="285"/>
      <c r="N121" s="286"/>
      <c r="O121" s="72"/>
      <c r="P121" s="72"/>
      <c r="Q121" s="72"/>
      <c r="R121" s="72"/>
      <c r="S121" s="72"/>
      <c r="T121" s="73"/>
      <c r="U121" s="73"/>
      <c r="V121" s="72"/>
      <c r="W121" s="72"/>
      <c r="X121" s="72"/>
      <c r="Y121" s="73"/>
      <c r="Z121" s="73"/>
      <c r="AA121" s="276"/>
      <c r="AB121" s="276"/>
      <c r="AC121" s="276"/>
    </row>
    <row r="122" spans="1:30" ht="12.75" customHeight="1" x14ac:dyDescent="0.25">
      <c r="M122" s="230"/>
      <c r="N122" s="230"/>
      <c r="O122" s="230"/>
      <c r="P122" s="230"/>
      <c r="Q122" s="230"/>
      <c r="R122" s="230"/>
      <c r="S122" s="230"/>
      <c r="T122" s="18"/>
      <c r="U122" s="18"/>
      <c r="V122" s="6"/>
      <c r="W122" s="6"/>
      <c r="X122" s="6"/>
      <c r="Y122" s="18"/>
      <c r="Z122" s="18"/>
      <c r="AA122" s="276"/>
      <c r="AB122" s="276"/>
      <c r="AC122" s="276"/>
    </row>
    <row r="123" spans="1:30" ht="12.75" customHeight="1" x14ac:dyDescent="0.25">
      <c r="M123" s="230"/>
      <c r="N123" s="230"/>
      <c r="O123" s="230"/>
      <c r="P123" s="230"/>
      <c r="Q123" s="230"/>
      <c r="R123" s="230"/>
      <c r="S123" s="230"/>
      <c r="T123" s="18"/>
      <c r="U123" s="18"/>
      <c r="V123" s="6"/>
      <c r="W123" s="6"/>
      <c r="X123" s="6"/>
      <c r="Y123" s="18"/>
      <c r="Z123" s="18"/>
      <c r="AA123" s="276"/>
      <c r="AB123" s="276"/>
      <c r="AC123" s="276"/>
    </row>
    <row r="124" spans="1:30" ht="12.75" customHeight="1" x14ac:dyDescent="0.25">
      <c r="A124" s="15" t="s">
        <v>83</v>
      </c>
      <c r="M124" s="230"/>
      <c r="N124" s="19" t="e">
        <f>-$E$30-N90</f>
        <v>#DIV/0!</v>
      </c>
      <c r="O124" s="19" t="e">
        <f t="shared" ref="O124:S124" si="41">+O117+O93-O101</f>
        <v>#DIV/0!</v>
      </c>
      <c r="P124" s="19" t="e">
        <f t="shared" si="41"/>
        <v>#DIV/0!</v>
      </c>
      <c r="Q124" s="19" t="e">
        <f t="shared" si="41"/>
        <v>#DIV/0!</v>
      </c>
      <c r="R124" s="19" t="e">
        <f t="shared" si="41"/>
        <v>#DIV/0!</v>
      </c>
      <c r="S124" s="19" t="e">
        <f t="shared" si="41"/>
        <v>#DIV/0!</v>
      </c>
      <c r="T124" s="19" t="e">
        <f>IF($B$11&gt;5,+T117+T93-T101,"")</f>
        <v>#DIV/0!</v>
      </c>
      <c r="U124" s="19" t="e">
        <f>IF($B$11&gt;6,+U117+U93-U101,"")</f>
        <v>#DIV/0!</v>
      </c>
      <c r="V124" s="19" t="e">
        <f>IF($B$11&gt;7,+V117+V93-V101,"")</f>
        <v>#DIV/0!</v>
      </c>
      <c r="W124" s="19" t="e">
        <f>IF($B$11&gt;8,+W117+W93-W101,"")</f>
        <v>#DIV/0!</v>
      </c>
      <c r="X124" s="19" t="e">
        <f>IF($B$11&gt;9,+X117+X93-X101,"")</f>
        <v>#DIV/0!</v>
      </c>
      <c r="Y124" s="19" t="e">
        <f>IF($B$11&gt;10,+Y117+Y93-Y101,"")</f>
        <v>#DIV/0!</v>
      </c>
      <c r="Z124" s="19" t="e">
        <f>IF($B$11&gt;11,+Z117+Z93-Z101,"")</f>
        <v>#DIV/0!</v>
      </c>
      <c r="AA124" s="19" t="e">
        <f>IF($B$11&gt;12,+AA117+AA93-AA101,"")</f>
        <v>#DIV/0!</v>
      </c>
      <c r="AB124" s="19" t="e">
        <f>IF($B$11&gt;13,+AB117+AB93-AB101,"")</f>
        <v>#DIV/0!</v>
      </c>
      <c r="AC124" s="19" t="e">
        <f>IF($B$11&gt;14,+AC117+AC93-AC101,"")</f>
        <v>#DIV/0!</v>
      </c>
      <c r="AD124" s="23"/>
    </row>
    <row r="125" spans="1:30" ht="12.75" customHeight="1" thickBot="1" x14ac:dyDescent="0.3">
      <c r="M125" s="230"/>
      <c r="N125" s="230"/>
      <c r="O125" s="230"/>
      <c r="P125" s="230"/>
      <c r="Q125" s="230"/>
      <c r="R125" s="230"/>
      <c r="S125" s="230"/>
      <c r="T125" s="18"/>
      <c r="U125" s="18"/>
      <c r="V125" s="6"/>
      <c r="W125" s="6"/>
      <c r="X125" s="6"/>
      <c r="Y125" s="6"/>
      <c r="Z125" s="6"/>
      <c r="AA125" s="6"/>
      <c r="AB125" s="6"/>
      <c r="AC125" s="6"/>
      <c r="AD125" s="6"/>
    </row>
    <row r="126" spans="1:30" ht="24.75" customHeight="1" thickBot="1" x14ac:dyDescent="0.3">
      <c r="A126" s="281" t="s">
        <v>84</v>
      </c>
      <c r="B126" s="287"/>
      <c r="C126" s="287"/>
      <c r="D126" s="287"/>
      <c r="E126" s="287"/>
      <c r="F126" s="287"/>
      <c r="G126" s="287"/>
      <c r="H126" s="287"/>
      <c r="I126" s="287"/>
      <c r="J126" s="287"/>
      <c r="K126" s="287"/>
      <c r="L126" s="288" t="e">
        <f>IF(B30=0%,"n.v.t., geen eigen vermogen",IRR(N124:AC124,0%))</f>
        <v>#DIV/0!</v>
      </c>
      <c r="M126" s="230"/>
      <c r="N126" s="230"/>
      <c r="O126" s="289"/>
      <c r="P126" s="230"/>
      <c r="Q126" s="230"/>
      <c r="R126" s="230"/>
      <c r="S126" s="230"/>
      <c r="T126" s="18"/>
      <c r="U126" s="18"/>
      <c r="V126" s="6"/>
      <c r="W126" s="6"/>
      <c r="X126" s="6"/>
      <c r="Y126" s="6"/>
      <c r="Z126" s="6"/>
      <c r="AA126" s="6"/>
      <c r="AB126" s="6"/>
      <c r="AC126" s="6"/>
    </row>
    <row r="127" spans="1:30" ht="12.75" customHeight="1" x14ac:dyDescent="0.25">
      <c r="M127" s="230"/>
      <c r="N127" s="230"/>
      <c r="O127" s="230"/>
      <c r="P127" s="230"/>
      <c r="Q127" s="230"/>
      <c r="R127" s="230"/>
      <c r="S127" s="230"/>
      <c r="T127" s="18"/>
      <c r="U127" s="18"/>
      <c r="V127" s="6"/>
      <c r="W127" s="6"/>
      <c r="X127" s="6"/>
      <c r="Y127" s="6"/>
      <c r="Z127" s="6"/>
      <c r="AA127" s="6"/>
      <c r="AB127" s="6"/>
      <c r="AC127" s="6"/>
    </row>
    <row r="128" spans="1:30" ht="12.75" customHeight="1" x14ac:dyDescent="0.25">
      <c r="M128" s="230"/>
      <c r="N128" s="230"/>
      <c r="O128" s="230"/>
      <c r="P128" s="230"/>
      <c r="Q128" s="230"/>
      <c r="R128" s="230"/>
      <c r="S128" s="230"/>
      <c r="T128" s="18"/>
      <c r="U128" s="18"/>
      <c r="V128" s="6"/>
      <c r="W128" s="6"/>
      <c r="X128" s="6"/>
      <c r="Y128" s="6"/>
      <c r="Z128" s="6"/>
      <c r="AA128" s="6"/>
      <c r="AB128" s="6"/>
      <c r="AC128" s="6"/>
    </row>
    <row r="129" spans="1:29" ht="12.75" customHeight="1" x14ac:dyDescent="0.25">
      <c r="A129" s="15" t="s">
        <v>85</v>
      </c>
      <c r="M129" s="230"/>
      <c r="N129" s="230"/>
      <c r="O129" s="34" t="e">
        <f t="shared" ref="O129:S129" si="42">IF($B$30&lt;100%,IF((O100+O101)=0,"n.v.t.",O119/(O100+O101)),"n.v.t.")</f>
        <v>#DIV/0!</v>
      </c>
      <c r="P129" s="34" t="e">
        <f t="shared" si="42"/>
        <v>#DIV/0!</v>
      </c>
      <c r="Q129" s="34" t="e">
        <f t="shared" si="42"/>
        <v>#DIV/0!</v>
      </c>
      <c r="R129" s="34" t="e">
        <f t="shared" si="42"/>
        <v>#DIV/0!</v>
      </c>
      <c r="S129" s="34" t="e">
        <f t="shared" si="42"/>
        <v>#DIV/0!</v>
      </c>
      <c r="T129" s="34" t="e">
        <f>IF($B$11&gt;5,IF($B$30&lt;100%,IF((T100+T101)=0,"n.v.t.",T119/(T100+T101)),"n.v.t."),"")</f>
        <v>#DIV/0!</v>
      </c>
      <c r="U129" s="34" t="e">
        <f>IF($B$11&gt;6,IF($B$30&lt;100%,IF((U100+U101)=0,"n.v.t.",U119/(U100+U101)),"n.v.t."),"")</f>
        <v>#DIV/0!</v>
      </c>
      <c r="V129" s="34" t="e">
        <f>IF($B$11&gt;7,IF($B$30&lt;100%,IF((V100+V101)=0,"n.v.t.",V119/(V100+V101)),"n.v.t."),"")</f>
        <v>#DIV/0!</v>
      </c>
      <c r="W129" s="34" t="e">
        <f>IF($B$11&gt;8,IF($B$30&lt;100%,IF((W100+W101)=0,"n.v.t.",W119/(W100+W101)),"n.v.t."),"")</f>
        <v>#DIV/0!</v>
      </c>
      <c r="X129" s="34" t="e">
        <f>IF($B$11&gt;9,IF($B$30&lt;100%,IF((X100+X101)=0,"n.v.t.",X119/(X100+X101)),"n.v.t."),"")</f>
        <v>#DIV/0!</v>
      </c>
      <c r="Y129" s="34" t="e">
        <f>IF($B$11&gt;10,IF($B$30&lt;100%,IF((Y100+Y101)=0,"n.v.t.",Y119/(Y100+Y101)),"n.v.t."),"")</f>
        <v>#DIV/0!</v>
      </c>
      <c r="Z129" s="34" t="e">
        <f>IF($B$11&gt;11,IF($B$30&lt;100%,IF((Z100+Z101)=0,"n.v.t.",Z119/(Z100+Z101)),"n.v.t."),"")</f>
        <v>#DIV/0!</v>
      </c>
      <c r="AA129" s="34" t="e">
        <f>IF($B$11&gt;12,IF($B$30&lt;100%,IF((AA100+AA101)=0,"n.v.t.",AA119/(AA100+AA101)),"n.v.t."),"")</f>
        <v>#DIV/0!</v>
      </c>
      <c r="AB129" s="34" t="e">
        <f>IF($B$11&gt;13,IF($B$30&lt;100%,IF((AB100+AB101)=0,"n.v.t.",AB119/(AB100+AB101)),"n.v.t."),"")</f>
        <v>#DIV/0!</v>
      </c>
      <c r="AC129" s="34" t="e">
        <f>IF($B$11&gt;14,IF($B$30&lt;100%,IF((AC100+AC101)=0,"n.v.t.",AC119/(AC100+AC101)),"n.v.t."),"")</f>
        <v>#DIV/0!</v>
      </c>
    </row>
    <row r="130" spans="1:29" ht="12.75" customHeight="1" thickBot="1" x14ac:dyDescent="0.3">
      <c r="M130" s="230"/>
      <c r="N130" s="230"/>
      <c r="O130" s="230"/>
      <c r="P130" s="230"/>
      <c r="Q130" s="230"/>
      <c r="R130" s="230"/>
      <c r="S130" s="230"/>
      <c r="T130" s="230"/>
      <c r="U130" s="230"/>
      <c r="V130" s="230"/>
      <c r="W130" s="230"/>
      <c r="X130" s="230"/>
      <c r="Y130" s="230"/>
      <c r="Z130" s="230"/>
      <c r="AA130" s="230"/>
      <c r="AB130" s="230"/>
      <c r="AC130" s="230"/>
    </row>
    <row r="131" spans="1:29" ht="24.75" customHeight="1" thickBot="1" x14ac:dyDescent="0.3">
      <c r="A131" s="281" t="s">
        <v>86</v>
      </c>
      <c r="B131" s="290"/>
      <c r="C131" s="290"/>
      <c r="D131" s="291"/>
      <c r="E131" s="291"/>
      <c r="F131" s="291"/>
      <c r="G131" s="291"/>
      <c r="H131" s="291"/>
      <c r="I131" s="291"/>
      <c r="J131" s="291"/>
      <c r="K131" s="291"/>
      <c r="L131" s="292" t="e">
        <f>VLOOKUP(E33,Hulpblad_overig!A46:B60,2,FALSE)</f>
        <v>#DIV/0!</v>
      </c>
      <c r="M131" s="230"/>
      <c r="N131" s="230"/>
      <c r="O131" s="230"/>
      <c r="P131" s="230"/>
      <c r="Q131" s="230"/>
      <c r="R131" s="230"/>
      <c r="S131" s="230"/>
      <c r="T131" s="230"/>
      <c r="U131" s="230"/>
      <c r="V131" s="230"/>
      <c r="W131" s="230"/>
      <c r="X131" s="230"/>
      <c r="Y131" s="230"/>
      <c r="Z131" s="230"/>
      <c r="AA131" s="230"/>
      <c r="AB131" s="230"/>
      <c r="AC131" s="230"/>
    </row>
    <row r="132" spans="1:29" ht="12.75" customHeight="1" x14ac:dyDescent="0.25">
      <c r="M132" s="230"/>
      <c r="N132" s="230"/>
      <c r="O132" s="230"/>
      <c r="P132" s="230"/>
      <c r="Q132" s="230"/>
      <c r="R132" s="230"/>
      <c r="S132" s="230"/>
      <c r="T132" s="230"/>
      <c r="U132" s="230"/>
      <c r="V132" s="230"/>
      <c r="W132" s="230"/>
      <c r="X132" s="230"/>
      <c r="Y132" s="230"/>
      <c r="Z132" s="230"/>
      <c r="AA132" s="230"/>
      <c r="AB132" s="230"/>
      <c r="AC132" s="230"/>
    </row>
    <row r="133" spans="1:29" ht="12.75" customHeight="1" x14ac:dyDescent="0.25">
      <c r="M133" s="230"/>
      <c r="N133" s="230"/>
      <c r="O133" s="230"/>
      <c r="P133" s="230"/>
      <c r="Q133" s="230"/>
      <c r="R133" s="230"/>
      <c r="S133" s="230"/>
      <c r="T133" s="230"/>
      <c r="U133" s="230"/>
      <c r="V133" s="230"/>
      <c r="W133" s="230"/>
      <c r="X133" s="230"/>
      <c r="Y133" s="230"/>
      <c r="Z133" s="230"/>
      <c r="AA133" s="230"/>
      <c r="AB133" s="230"/>
      <c r="AC133" s="230"/>
    </row>
    <row r="134" spans="1:29" ht="12.75" customHeight="1" x14ac:dyDescent="0.25">
      <c r="M134" s="230"/>
      <c r="N134" s="230"/>
      <c r="O134" s="230"/>
      <c r="P134" s="230"/>
      <c r="Q134" s="230"/>
      <c r="R134" s="230"/>
      <c r="S134" s="230"/>
      <c r="T134" s="230"/>
      <c r="U134" s="230"/>
      <c r="V134" s="230"/>
      <c r="W134" s="230"/>
      <c r="X134" s="230"/>
      <c r="Y134" s="230"/>
      <c r="Z134" s="230"/>
      <c r="AA134" s="230"/>
      <c r="AB134" s="230"/>
      <c r="AC134" s="230"/>
    </row>
    <row r="135" spans="1:29" ht="12.75" customHeight="1" x14ac:dyDescent="0.25">
      <c r="A135" s="521"/>
      <c r="B135" s="522"/>
      <c r="C135" s="522"/>
      <c r="D135" s="522"/>
      <c r="E135" s="522"/>
      <c r="F135" s="522"/>
      <c r="G135" s="522"/>
      <c r="H135" s="522"/>
      <c r="I135" s="522"/>
      <c r="J135" s="522"/>
      <c r="K135" s="522"/>
      <c r="L135" s="523"/>
      <c r="M135" s="230"/>
      <c r="N135" s="230"/>
      <c r="O135" s="230"/>
      <c r="P135" s="230"/>
      <c r="Q135" s="230"/>
      <c r="R135" s="230"/>
      <c r="S135" s="230"/>
      <c r="T135" s="230"/>
      <c r="U135" s="230"/>
      <c r="V135" s="230"/>
      <c r="W135" s="230"/>
      <c r="X135" s="230"/>
      <c r="Y135" s="230"/>
      <c r="Z135" s="230"/>
      <c r="AA135" s="230"/>
      <c r="AB135" s="230"/>
      <c r="AC135" s="230"/>
    </row>
    <row r="136" spans="1:29" ht="12.75" customHeight="1" x14ac:dyDescent="0.25">
      <c r="A136" s="524"/>
      <c r="B136" s="525"/>
      <c r="C136" s="525"/>
      <c r="D136" s="525"/>
      <c r="E136" s="525"/>
      <c r="F136" s="525"/>
      <c r="G136" s="525"/>
      <c r="H136" s="525"/>
      <c r="I136" s="525"/>
      <c r="J136" s="525"/>
      <c r="K136" s="525"/>
      <c r="L136" s="526"/>
      <c r="M136" s="230"/>
      <c r="N136" s="230"/>
      <c r="O136" s="230"/>
      <c r="P136" s="230"/>
      <c r="Q136" s="230"/>
      <c r="R136" s="230"/>
      <c r="S136" s="230"/>
      <c r="T136" s="230"/>
      <c r="U136" s="230"/>
      <c r="V136" s="230"/>
      <c r="W136" s="230"/>
      <c r="X136" s="230"/>
      <c r="Y136" s="230"/>
      <c r="Z136" s="230"/>
      <c r="AA136" s="230"/>
      <c r="AB136" s="230"/>
      <c r="AC136" s="230"/>
    </row>
    <row r="137" spans="1:29" ht="12.75" customHeight="1" x14ac:dyDescent="0.25">
      <c r="A137" s="524"/>
      <c r="B137" s="525"/>
      <c r="C137" s="525"/>
      <c r="D137" s="525"/>
      <c r="E137" s="525"/>
      <c r="F137" s="525"/>
      <c r="G137" s="525"/>
      <c r="H137" s="525"/>
      <c r="I137" s="525"/>
      <c r="J137" s="525"/>
      <c r="K137" s="525"/>
      <c r="L137" s="526"/>
      <c r="M137" s="230"/>
      <c r="N137" s="230"/>
      <c r="O137" s="230"/>
      <c r="P137" s="230"/>
      <c r="Q137" s="230"/>
      <c r="R137" s="230"/>
      <c r="S137" s="230"/>
      <c r="T137" s="230"/>
      <c r="U137" s="230"/>
      <c r="V137" s="230"/>
      <c r="W137" s="230"/>
      <c r="X137" s="230"/>
      <c r="Y137" s="230"/>
      <c r="Z137" s="230"/>
      <c r="AA137" s="230"/>
      <c r="AB137" s="230"/>
      <c r="AC137" s="230"/>
    </row>
    <row r="138" spans="1:29" ht="12.75" customHeight="1" x14ac:dyDescent="0.25">
      <c r="A138" s="524"/>
      <c r="B138" s="525"/>
      <c r="C138" s="525"/>
      <c r="D138" s="525"/>
      <c r="E138" s="525"/>
      <c r="F138" s="525"/>
      <c r="G138" s="525"/>
      <c r="H138" s="525"/>
      <c r="I138" s="525"/>
      <c r="J138" s="525"/>
      <c r="K138" s="525"/>
      <c r="L138" s="526"/>
      <c r="M138" s="230"/>
      <c r="N138" s="230"/>
      <c r="O138" s="230"/>
      <c r="P138" s="230"/>
      <c r="Q138" s="230"/>
      <c r="R138" s="230"/>
      <c r="S138" s="230"/>
      <c r="T138" s="230"/>
      <c r="U138" s="230"/>
      <c r="V138" s="230"/>
      <c r="W138" s="230"/>
      <c r="X138" s="230"/>
      <c r="Y138" s="230"/>
      <c r="Z138" s="230"/>
      <c r="AA138" s="230"/>
      <c r="AB138" s="230"/>
      <c r="AC138" s="230"/>
    </row>
    <row r="139" spans="1:29" ht="12.75" customHeight="1" x14ac:dyDescent="0.25">
      <c r="A139" s="524"/>
      <c r="B139" s="525"/>
      <c r="C139" s="525"/>
      <c r="D139" s="525"/>
      <c r="E139" s="525"/>
      <c r="F139" s="525"/>
      <c r="G139" s="525"/>
      <c r="H139" s="525"/>
      <c r="I139" s="525"/>
      <c r="J139" s="525"/>
      <c r="K139" s="525"/>
      <c r="L139" s="526"/>
      <c r="M139" s="230"/>
      <c r="N139" s="230"/>
      <c r="O139" s="230"/>
      <c r="P139" s="230"/>
      <c r="Q139" s="230"/>
      <c r="R139" s="230"/>
      <c r="S139" s="230"/>
      <c r="T139" s="230"/>
      <c r="U139" s="230"/>
      <c r="V139" s="230"/>
      <c r="W139" s="230"/>
      <c r="X139" s="230"/>
      <c r="Y139" s="230"/>
      <c r="Z139" s="230"/>
      <c r="AA139" s="230"/>
      <c r="AB139" s="230"/>
      <c r="AC139" s="230"/>
    </row>
    <row r="140" spans="1:29" ht="12.75" customHeight="1" x14ac:dyDescent="0.25">
      <c r="A140" s="524"/>
      <c r="B140" s="525"/>
      <c r="C140" s="525"/>
      <c r="D140" s="525"/>
      <c r="E140" s="525"/>
      <c r="F140" s="525"/>
      <c r="G140" s="525"/>
      <c r="H140" s="525"/>
      <c r="I140" s="525"/>
      <c r="J140" s="525"/>
      <c r="K140" s="525"/>
      <c r="L140" s="526"/>
      <c r="M140" s="230"/>
      <c r="N140" s="230"/>
      <c r="O140" s="230"/>
      <c r="P140" s="230"/>
      <c r="Q140" s="230"/>
      <c r="R140" s="230"/>
      <c r="S140" s="230"/>
      <c r="T140" s="230"/>
      <c r="U140" s="230"/>
      <c r="V140" s="230"/>
      <c r="W140" s="230"/>
      <c r="X140" s="230"/>
      <c r="Y140" s="230"/>
      <c r="Z140" s="230"/>
      <c r="AA140" s="230"/>
      <c r="AB140" s="230"/>
      <c r="AC140" s="230"/>
    </row>
    <row r="141" spans="1:29" ht="12.75" customHeight="1" x14ac:dyDescent="0.25">
      <c r="A141" s="527"/>
      <c r="B141" s="528"/>
      <c r="C141" s="528"/>
      <c r="D141" s="528"/>
      <c r="E141" s="528"/>
      <c r="F141" s="528"/>
      <c r="G141" s="528"/>
      <c r="H141" s="528"/>
      <c r="I141" s="528"/>
      <c r="J141" s="528"/>
      <c r="K141" s="528"/>
      <c r="L141" s="529"/>
      <c r="M141" s="230"/>
      <c r="N141" s="230"/>
      <c r="O141" s="230"/>
      <c r="P141" s="230"/>
      <c r="Q141" s="230"/>
      <c r="R141" s="230"/>
      <c r="S141" s="230"/>
      <c r="T141" s="230"/>
      <c r="U141" s="230"/>
      <c r="V141" s="230"/>
      <c r="W141" s="230"/>
      <c r="X141" s="230"/>
      <c r="Y141" s="230"/>
      <c r="Z141" s="230"/>
      <c r="AA141" s="230"/>
      <c r="AB141" s="230"/>
      <c r="AC141" s="230"/>
    </row>
    <row r="142" spans="1:29" x14ac:dyDescent="0.25">
      <c r="M142" s="230"/>
      <c r="N142" s="230"/>
      <c r="O142" s="230"/>
      <c r="P142" s="230"/>
      <c r="Q142" s="230"/>
      <c r="R142" s="230"/>
      <c r="S142" s="230"/>
      <c r="T142" s="230"/>
      <c r="U142" s="230"/>
      <c r="V142" s="230"/>
      <c r="W142" s="230"/>
      <c r="X142" s="230"/>
      <c r="Y142" s="230"/>
      <c r="Z142" s="230"/>
      <c r="AA142" s="230"/>
      <c r="AB142" s="230"/>
      <c r="AC142" s="230"/>
    </row>
    <row r="143" spans="1:29" x14ac:dyDescent="0.25">
      <c r="M143" s="230"/>
      <c r="N143" s="230"/>
      <c r="O143" s="230"/>
      <c r="P143" s="230"/>
      <c r="Q143" s="230"/>
      <c r="R143" s="230"/>
      <c r="S143" s="230"/>
      <c r="T143" s="230"/>
      <c r="U143" s="230"/>
      <c r="V143" s="230"/>
      <c r="W143" s="230"/>
      <c r="X143" s="230"/>
      <c r="Y143" s="230"/>
      <c r="Z143" s="230"/>
      <c r="AA143" s="230"/>
      <c r="AB143" s="230"/>
      <c r="AC143" s="230"/>
    </row>
    <row r="144" spans="1:29" x14ac:dyDescent="0.25">
      <c r="M144" s="230"/>
      <c r="N144" s="230"/>
      <c r="O144" s="230"/>
      <c r="P144" s="230"/>
      <c r="Q144" s="230"/>
      <c r="R144" s="230"/>
      <c r="S144" s="230"/>
      <c r="T144" s="230"/>
      <c r="U144" s="230"/>
      <c r="V144" s="230"/>
      <c r="W144" s="230"/>
      <c r="X144" s="230"/>
      <c r="Y144" s="230"/>
      <c r="Z144" s="230"/>
      <c r="AA144" s="230"/>
      <c r="AB144" s="230"/>
      <c r="AC144" s="230"/>
    </row>
    <row r="145" spans="13:29" x14ac:dyDescent="0.25">
      <c r="M145" s="230"/>
      <c r="N145" s="230"/>
      <c r="O145" s="230"/>
      <c r="P145" s="230"/>
      <c r="Q145" s="230"/>
      <c r="R145" s="230"/>
      <c r="S145" s="230"/>
      <c r="T145" s="230"/>
      <c r="U145" s="230"/>
      <c r="V145" s="230"/>
      <c r="W145" s="230"/>
      <c r="X145" s="230"/>
      <c r="Y145" s="230"/>
      <c r="Z145" s="230"/>
      <c r="AA145" s="230"/>
      <c r="AB145" s="230"/>
      <c r="AC145" s="230"/>
    </row>
    <row r="146" spans="13:29" x14ac:dyDescent="0.25">
      <c r="M146" s="230"/>
      <c r="N146" s="230"/>
      <c r="O146" s="230"/>
      <c r="P146" s="230"/>
      <c r="Q146" s="230"/>
      <c r="R146" s="230"/>
      <c r="S146" s="230"/>
      <c r="T146" s="230"/>
      <c r="U146" s="230"/>
      <c r="V146" s="230"/>
      <c r="W146" s="230"/>
      <c r="X146" s="230"/>
      <c r="Y146" s="230"/>
      <c r="Z146" s="230"/>
      <c r="AA146" s="230"/>
      <c r="AB146" s="230"/>
      <c r="AC146" s="230"/>
    </row>
    <row r="147" spans="13:29" x14ac:dyDescent="0.25">
      <c r="M147" s="230"/>
      <c r="N147" s="230"/>
      <c r="O147" s="230"/>
      <c r="P147" s="230"/>
      <c r="Q147" s="230"/>
      <c r="R147" s="230"/>
      <c r="S147" s="230"/>
      <c r="T147" s="230"/>
      <c r="U147" s="230"/>
      <c r="V147" s="230"/>
      <c r="W147" s="230"/>
      <c r="X147" s="230"/>
      <c r="Y147" s="230"/>
      <c r="Z147" s="230"/>
      <c r="AA147" s="230"/>
      <c r="AB147" s="230"/>
      <c r="AC147" s="230"/>
    </row>
    <row r="148" spans="13:29" x14ac:dyDescent="0.25">
      <c r="M148" s="230"/>
      <c r="N148" s="230"/>
      <c r="O148" s="230"/>
      <c r="P148" s="230"/>
      <c r="Q148" s="230"/>
      <c r="R148" s="230"/>
      <c r="S148" s="230"/>
      <c r="T148" s="230"/>
      <c r="U148" s="230"/>
      <c r="V148" s="230"/>
      <c r="W148" s="230"/>
      <c r="X148" s="230"/>
      <c r="Y148" s="230"/>
      <c r="Z148" s="230"/>
      <c r="AA148" s="230"/>
      <c r="AB148" s="230"/>
      <c r="AC148" s="230"/>
    </row>
    <row r="149" spans="13:29" x14ac:dyDescent="0.25">
      <c r="M149" s="230"/>
      <c r="N149" s="230"/>
      <c r="O149" s="230"/>
      <c r="P149" s="230"/>
      <c r="Q149" s="230"/>
      <c r="R149" s="230"/>
      <c r="S149" s="230"/>
      <c r="T149" s="230"/>
      <c r="U149" s="230"/>
      <c r="V149" s="230"/>
      <c r="W149" s="230"/>
      <c r="X149" s="230"/>
      <c r="Y149" s="230"/>
      <c r="Z149" s="230"/>
      <c r="AA149" s="230"/>
      <c r="AB149" s="230"/>
      <c r="AC149" s="230"/>
    </row>
    <row r="150" spans="13:29" x14ac:dyDescent="0.25">
      <c r="M150" s="230"/>
      <c r="N150" s="230"/>
      <c r="O150" s="230"/>
      <c r="P150" s="230"/>
      <c r="Q150" s="230"/>
      <c r="R150" s="230"/>
      <c r="S150" s="230"/>
      <c r="T150" s="230"/>
      <c r="U150" s="230"/>
      <c r="V150" s="230"/>
      <c r="W150" s="230"/>
      <c r="X150" s="230"/>
      <c r="Y150" s="230"/>
      <c r="Z150" s="230"/>
      <c r="AA150" s="230"/>
      <c r="AB150" s="230"/>
      <c r="AC150" s="230"/>
    </row>
    <row r="151" spans="13:29" x14ac:dyDescent="0.25">
      <c r="M151" s="230"/>
      <c r="N151" s="230"/>
      <c r="O151" s="230"/>
      <c r="P151" s="230"/>
      <c r="Q151" s="230"/>
      <c r="R151" s="230"/>
      <c r="S151" s="230"/>
      <c r="T151" s="230"/>
      <c r="U151" s="230"/>
      <c r="V151" s="230"/>
      <c r="W151" s="230"/>
      <c r="X151" s="230"/>
      <c r="Y151" s="230"/>
      <c r="Z151" s="230"/>
      <c r="AA151" s="230"/>
      <c r="AB151" s="230"/>
      <c r="AC151" s="230"/>
    </row>
    <row r="152" spans="13:29" x14ac:dyDescent="0.25">
      <c r="M152" s="230"/>
      <c r="N152" s="230"/>
      <c r="O152" s="230"/>
      <c r="P152" s="230"/>
      <c r="Q152" s="230"/>
      <c r="R152" s="230"/>
      <c r="S152" s="230"/>
      <c r="T152" s="230"/>
      <c r="U152" s="230"/>
      <c r="V152" s="230"/>
      <c r="W152" s="230"/>
      <c r="X152" s="230"/>
      <c r="Y152" s="230"/>
      <c r="Z152" s="230"/>
      <c r="AA152" s="230"/>
      <c r="AB152" s="230"/>
      <c r="AC152" s="230"/>
    </row>
    <row r="153" spans="13:29" x14ac:dyDescent="0.25">
      <c r="M153" s="230"/>
      <c r="N153" s="230"/>
      <c r="O153" s="230"/>
      <c r="P153" s="230"/>
      <c r="Q153" s="230"/>
      <c r="R153" s="230"/>
      <c r="S153" s="230"/>
      <c r="T153" s="230"/>
      <c r="U153" s="230"/>
      <c r="V153" s="230"/>
      <c r="W153" s="230"/>
      <c r="X153" s="230"/>
      <c r="Y153" s="230"/>
      <c r="Z153" s="230"/>
      <c r="AA153" s="230"/>
      <c r="AB153" s="230"/>
      <c r="AC153" s="230"/>
    </row>
    <row r="154" spans="13:29" x14ac:dyDescent="0.25">
      <c r="M154" s="230"/>
      <c r="N154" s="230"/>
      <c r="O154" s="230"/>
      <c r="P154" s="230"/>
      <c r="Q154" s="230"/>
      <c r="R154" s="230"/>
      <c r="S154" s="230"/>
      <c r="T154" s="230"/>
      <c r="U154" s="230"/>
      <c r="V154" s="230"/>
      <c r="W154" s="230"/>
      <c r="X154" s="230"/>
      <c r="Y154" s="230"/>
      <c r="Z154" s="230"/>
      <c r="AA154" s="230"/>
      <c r="AB154" s="230"/>
      <c r="AC154" s="230"/>
    </row>
  </sheetData>
  <sheetProtection algorithmName="SHA-512" hashValue="ir8+h24D3AMPr0cNspCfHnc2fEWKM/9HBP2D2YoUT6y0KKpw4aanW2qahvU3QvZ99gkUrf2mT9hMA4Cqj3KJKw==" saltValue="zQ/YS0TPSuXKU4h20vnHiQ==" spinCount="100000" sheet="1" objects="1" scenarios="1"/>
  <mergeCells count="58">
    <mergeCell ref="B20:L20"/>
    <mergeCell ref="B29:C29"/>
    <mergeCell ref="H29:J29"/>
    <mergeCell ref="B6:L6"/>
    <mergeCell ref="B7:L7"/>
    <mergeCell ref="B8:L8"/>
    <mergeCell ref="B9:D9"/>
    <mergeCell ref="B19:L19"/>
    <mergeCell ref="I10:K10"/>
    <mergeCell ref="B15:L15"/>
    <mergeCell ref="B16:L16"/>
    <mergeCell ref="B17:L17"/>
    <mergeCell ref="B18:L18"/>
    <mergeCell ref="B32:C32"/>
    <mergeCell ref="H32:J32"/>
    <mergeCell ref="B33:C33"/>
    <mergeCell ref="H33:J33"/>
    <mergeCell ref="A30:A31"/>
    <mergeCell ref="B30:C30"/>
    <mergeCell ref="H30:J30"/>
    <mergeCell ref="B49:C49"/>
    <mergeCell ref="H49:J49"/>
    <mergeCell ref="H43:J44"/>
    <mergeCell ref="L37:L38"/>
    <mergeCell ref="E38:G38"/>
    <mergeCell ref="H38:K38"/>
    <mergeCell ref="L43:L44"/>
    <mergeCell ref="H39:J40"/>
    <mergeCell ref="H41:J42"/>
    <mergeCell ref="L39:L40"/>
    <mergeCell ref="L41:L42"/>
    <mergeCell ref="L52:L54"/>
    <mergeCell ref="H55:J55"/>
    <mergeCell ref="E47:E48"/>
    <mergeCell ref="H47:J48"/>
    <mergeCell ref="L47:L48"/>
    <mergeCell ref="M49:N49"/>
    <mergeCell ref="B50:C50"/>
    <mergeCell ref="H50:J50"/>
    <mergeCell ref="B83:L83"/>
    <mergeCell ref="B60:L60"/>
    <mergeCell ref="B63:L63"/>
    <mergeCell ref="B76:L76"/>
    <mergeCell ref="B77:L77"/>
    <mergeCell ref="B78:L78"/>
    <mergeCell ref="B79:L79"/>
    <mergeCell ref="B80:L80"/>
    <mergeCell ref="B81:L81"/>
    <mergeCell ref="B82:L82"/>
    <mergeCell ref="B62:L62"/>
    <mergeCell ref="B61:L61"/>
    <mergeCell ref="H52:J54"/>
    <mergeCell ref="A135:L141"/>
    <mergeCell ref="B84:L84"/>
    <mergeCell ref="B85:L85"/>
    <mergeCell ref="B86:L86"/>
    <mergeCell ref="B89:L89"/>
    <mergeCell ref="B93:C93"/>
  </mergeCells>
  <conditionalFormatting sqref="C52:C53">
    <cfRule type="expression" dxfId="174" priority="495" stopIfTrue="1">
      <formula>E52="Elektriciteit niet-netlevering"</formula>
    </cfRule>
  </conditionalFormatting>
  <conditionalFormatting sqref="E50:F51">
    <cfRule type="expression" dxfId="173" priority="358" stopIfTrue="1">
      <formula>A50="Elektriciteit niet-netlevering"</formula>
    </cfRule>
  </conditionalFormatting>
  <conditionalFormatting sqref="H45:J45">
    <cfRule type="expression" dxfId="172" priority="397" stopIfTrue="1">
      <formula>OR($E$44=0,A45="Productie afvang en opslag CO₂ (ton/jaar)")</formula>
    </cfRule>
  </conditionalFormatting>
  <conditionalFormatting sqref="H49:J49">
    <cfRule type="expression" dxfId="171" priority="380" stopIfTrue="1">
      <formula>A50="Elektriciteit netlevering"</formula>
    </cfRule>
  </conditionalFormatting>
  <conditionalFormatting sqref="H55:J55">
    <cfRule type="expression" dxfId="170" priority="500" stopIfTrue="1">
      <formula>#REF!="Elektriciteit netlevering"</formula>
    </cfRule>
    <cfRule type="expression" dxfId="169" priority="499">
      <formula>A44="Productie afvang en opslag CO₂ (ton/jaar)"</formula>
    </cfRule>
  </conditionalFormatting>
  <conditionalFormatting sqref="H56:J57">
    <cfRule type="expression" dxfId="168" priority="501" stopIfTrue="1">
      <formula>B10="Geen ETS-correctie"</formula>
    </cfRule>
  </conditionalFormatting>
  <conditionalFormatting sqref="L45">
    <cfRule type="expression" dxfId="167" priority="373" stopIfTrue="1">
      <formula>OR($E$44=0,A45="Productie afvang en opslag CO₂ (ton/jaar)")</formula>
    </cfRule>
  </conditionalFormatting>
  <conditionalFormatting sqref="L55">
    <cfRule type="expression" dxfId="166" priority="356">
      <formula>A44="Productie afvang en opslag CO₂ (ton/jaar)"</formula>
    </cfRule>
  </conditionalFormatting>
  <conditionalFormatting sqref="S60:S63 S76:S89">
    <cfRule type="expression" dxfId="165" priority="102">
      <formula>$B$11=5</formula>
    </cfRule>
  </conditionalFormatting>
  <conditionalFormatting sqref="S72:S73">
    <cfRule type="expression" dxfId="164" priority="91">
      <formula>$B$11=5</formula>
    </cfRule>
  </conditionalFormatting>
  <conditionalFormatting sqref="T60">
    <cfRule type="expression" dxfId="163" priority="104">
      <formula>$B$11&gt;5</formula>
    </cfRule>
  </conditionalFormatting>
  <conditionalFormatting sqref="T60:T63 T76:T89">
    <cfRule type="expression" dxfId="162" priority="106">
      <formula>$B$11=6</formula>
    </cfRule>
    <cfRule type="expression" dxfId="161" priority="105">
      <formula>$B$11&gt;5</formula>
    </cfRule>
  </conditionalFormatting>
  <conditionalFormatting sqref="T63">
    <cfRule type="expression" dxfId="160" priority="103">
      <formula>$B$11&gt;5</formula>
    </cfRule>
  </conditionalFormatting>
  <conditionalFormatting sqref="T72">
    <cfRule type="expression" dxfId="159" priority="90">
      <formula>$B$11=6</formula>
    </cfRule>
    <cfRule type="expression" dxfId="158" priority="67">
      <formula>$B$11&gt;5</formula>
    </cfRule>
    <cfRule type="expression" dxfId="157" priority="69">
      <formula>$B$11&gt;5</formula>
    </cfRule>
  </conditionalFormatting>
  <conditionalFormatting sqref="T73">
    <cfRule type="expression" dxfId="156" priority="89">
      <formula>$B$11=6</formula>
    </cfRule>
    <cfRule type="expression" dxfId="155" priority="66">
      <formula>$B$11&gt;5</formula>
    </cfRule>
  </conditionalFormatting>
  <conditionalFormatting sqref="T76">
    <cfRule type="expression" dxfId="154" priority="95">
      <formula>$B$11&gt;5</formula>
    </cfRule>
  </conditionalFormatting>
  <conditionalFormatting sqref="T89">
    <cfRule type="expression" dxfId="153" priority="94">
      <formula>$B$11&gt;5</formula>
    </cfRule>
  </conditionalFormatting>
  <conditionalFormatting sqref="U60">
    <cfRule type="expression" dxfId="152" priority="108">
      <formula>$B$11&gt;6</formula>
    </cfRule>
  </conditionalFormatting>
  <conditionalFormatting sqref="U60:U63 U76:U89">
    <cfRule type="expression" dxfId="151" priority="261">
      <formula>$B$11=7</formula>
    </cfRule>
    <cfRule type="expression" dxfId="150" priority="109">
      <formula>$B$11&gt;6</formula>
    </cfRule>
  </conditionalFormatting>
  <conditionalFormatting sqref="U63">
    <cfRule type="expression" dxfId="149" priority="107">
      <formula>$B$11&gt;6</formula>
    </cfRule>
  </conditionalFormatting>
  <conditionalFormatting sqref="U72">
    <cfRule type="expression" dxfId="148" priority="65">
      <formula>$B$11&gt;6</formula>
    </cfRule>
  </conditionalFormatting>
  <conditionalFormatting sqref="U72:U73">
    <cfRule type="expression" dxfId="147" priority="87">
      <formula>$B$11=7</formula>
    </cfRule>
  </conditionalFormatting>
  <conditionalFormatting sqref="U73">
    <cfRule type="expression" dxfId="146" priority="64">
      <formula>$B$11&gt;6</formula>
    </cfRule>
  </conditionalFormatting>
  <conditionalFormatting sqref="U76">
    <cfRule type="expression" dxfId="145" priority="100">
      <formula>$B$11&gt;6</formula>
    </cfRule>
  </conditionalFormatting>
  <conditionalFormatting sqref="U89">
    <cfRule type="expression" dxfId="144" priority="99">
      <formula>$B$11&gt;6</formula>
    </cfRule>
  </conditionalFormatting>
  <conditionalFormatting sqref="V60">
    <cfRule type="expression" dxfId="143" priority="278">
      <formula>$B$11&gt;7</formula>
    </cfRule>
  </conditionalFormatting>
  <conditionalFormatting sqref="V60:V63 V77:V88">
    <cfRule type="expression" dxfId="142" priority="270">
      <formula>$B$11=8</formula>
    </cfRule>
    <cfRule type="expression" dxfId="141" priority="272">
      <formula>$B$11&gt;7</formula>
    </cfRule>
  </conditionalFormatting>
  <conditionalFormatting sqref="V63">
    <cfRule type="expression" dxfId="140" priority="265">
      <formula>$B$11&gt;7</formula>
    </cfRule>
  </conditionalFormatting>
  <conditionalFormatting sqref="V72">
    <cfRule type="expression" dxfId="139" priority="63">
      <formula>$B$11&gt;7</formula>
    </cfRule>
  </conditionalFormatting>
  <conditionalFormatting sqref="V72:V73">
    <cfRule type="expression" dxfId="138" priority="85">
      <formula>$B$11=8</formula>
    </cfRule>
  </conditionalFormatting>
  <conditionalFormatting sqref="V73">
    <cfRule type="expression" dxfId="137" priority="62">
      <formula>$B$11&gt;7</formula>
    </cfRule>
  </conditionalFormatting>
  <conditionalFormatting sqref="V76">
    <cfRule type="expression" dxfId="136" priority="159">
      <formula>B11&gt;7</formula>
    </cfRule>
    <cfRule type="expression" dxfId="135" priority="157">
      <formula>B11=8</formula>
    </cfRule>
    <cfRule type="expression" dxfId="134" priority="158">
      <formula>B11&gt;7</formula>
    </cfRule>
  </conditionalFormatting>
  <conditionalFormatting sqref="V89">
    <cfRule type="expression" dxfId="133" priority="133">
      <formula>B11&gt;7</formula>
    </cfRule>
    <cfRule type="expression" dxfId="132" priority="132">
      <formula>B11=8</formula>
    </cfRule>
    <cfRule type="expression" dxfId="131" priority="134">
      <formula>B11&gt;7</formula>
    </cfRule>
  </conditionalFormatting>
  <conditionalFormatting sqref="W60">
    <cfRule type="expression" dxfId="130" priority="259">
      <formula>B11&gt;8</formula>
    </cfRule>
    <cfRule type="expression" dxfId="129" priority="260">
      <formula>B11&gt;8</formula>
    </cfRule>
    <cfRule type="expression" dxfId="128" priority="258">
      <formula>B11=9</formula>
    </cfRule>
  </conditionalFormatting>
  <conditionalFormatting sqref="W61:W62">
    <cfRule type="expression" dxfId="127" priority="251">
      <formula>$B$11=9</formula>
    </cfRule>
    <cfRule type="expression" dxfId="126" priority="250">
      <formula>$B$11&gt;8</formula>
    </cfRule>
  </conditionalFormatting>
  <conditionalFormatting sqref="W63">
    <cfRule type="expression" dxfId="125" priority="247">
      <formula>B11=9</formula>
    </cfRule>
    <cfRule type="expression" dxfId="124" priority="249">
      <formula>B11&gt;8</formula>
    </cfRule>
    <cfRule type="expression" dxfId="123" priority="248">
      <formula>B11&gt;8</formula>
    </cfRule>
  </conditionalFormatting>
  <conditionalFormatting sqref="W72">
    <cfRule type="expression" dxfId="122" priority="61">
      <formula>$B$11&gt;8</formula>
    </cfRule>
  </conditionalFormatting>
  <conditionalFormatting sqref="W72:W73">
    <cfRule type="expression" dxfId="121" priority="83">
      <formula>$B$11=9</formula>
    </cfRule>
  </conditionalFormatting>
  <conditionalFormatting sqref="W73">
    <cfRule type="expression" dxfId="120" priority="60">
      <formula>$B$11&gt;8</formula>
    </cfRule>
  </conditionalFormatting>
  <conditionalFormatting sqref="W76">
    <cfRule type="expression" dxfId="119" priority="154">
      <formula>B11=9</formula>
    </cfRule>
    <cfRule type="expression" dxfId="118" priority="156">
      <formula>B11&gt;8</formula>
    </cfRule>
    <cfRule type="expression" dxfId="117" priority="155">
      <formula>B11&gt;8</formula>
    </cfRule>
  </conditionalFormatting>
  <conditionalFormatting sqref="W77:W88">
    <cfRule type="expression" dxfId="116" priority="173">
      <formula>$B$11&gt;8</formula>
    </cfRule>
    <cfRule type="expression" dxfId="115" priority="172">
      <formula>$B$11=9</formula>
    </cfRule>
  </conditionalFormatting>
  <conditionalFormatting sqref="W89">
    <cfRule type="expression" dxfId="114" priority="129">
      <formula>B11=9</formula>
    </cfRule>
    <cfRule type="expression" dxfId="113" priority="130">
      <formula>B11&gt;8</formula>
    </cfRule>
    <cfRule type="expression" dxfId="112" priority="131">
      <formula>B11&gt;8</formula>
    </cfRule>
  </conditionalFormatting>
  <conditionalFormatting sqref="X60">
    <cfRule type="expression" dxfId="111" priority="245">
      <formula>B11&gt;9</formula>
    </cfRule>
    <cfRule type="expression" dxfId="110" priority="238">
      <formula>B11=10</formula>
    </cfRule>
    <cfRule type="expression" dxfId="109" priority="242">
      <formula>B11&gt;9</formula>
    </cfRule>
  </conditionalFormatting>
  <conditionalFormatting sqref="X60:X63">
    <cfRule type="expression" dxfId="108" priority="246">
      <formula>$B$11&gt;9</formula>
    </cfRule>
    <cfRule type="expression" dxfId="107" priority="240">
      <formula>$B$11=10</formula>
    </cfRule>
  </conditionalFormatting>
  <conditionalFormatting sqref="X63">
    <cfRule type="expression" dxfId="106" priority="243">
      <formula>B11&gt;9</formula>
    </cfRule>
    <cfRule type="expression" dxfId="105" priority="237">
      <formula>B11=10</formula>
    </cfRule>
    <cfRule type="expression" dxfId="104" priority="241">
      <formula>B11&gt;9</formula>
    </cfRule>
  </conditionalFormatting>
  <conditionalFormatting sqref="X72">
    <cfRule type="expression" dxfId="103" priority="59">
      <formula>$B$11&gt;9</formula>
    </cfRule>
  </conditionalFormatting>
  <conditionalFormatting sqref="X72:X73">
    <cfRule type="expression" dxfId="102" priority="81">
      <formula>$B$11=10</formula>
    </cfRule>
  </conditionalFormatting>
  <conditionalFormatting sqref="X73">
    <cfRule type="expression" dxfId="101" priority="58">
      <formula>$B$11&gt;9</formula>
    </cfRule>
  </conditionalFormatting>
  <conditionalFormatting sqref="X76">
    <cfRule type="expression" dxfId="100" priority="152">
      <formula>B11&gt;9</formula>
    </cfRule>
    <cfRule type="expression" dxfId="99" priority="153">
      <formula>B11&gt;9</formula>
    </cfRule>
    <cfRule type="expression" dxfId="98" priority="150">
      <formula>B11=10</formula>
    </cfRule>
  </conditionalFormatting>
  <conditionalFormatting sqref="X77:X88">
    <cfRule type="expression" dxfId="97" priority="170">
      <formula>$B$11=10</formula>
    </cfRule>
    <cfRule type="expression" dxfId="96" priority="171">
      <formula>$B$11&gt;9</formula>
    </cfRule>
  </conditionalFormatting>
  <conditionalFormatting sqref="X89">
    <cfRule type="expression" dxfId="95" priority="128">
      <formula>B11&gt;9</formula>
    </cfRule>
    <cfRule type="expression" dxfId="94" priority="126">
      <formula>B11=10</formula>
    </cfRule>
    <cfRule type="expression" dxfId="93" priority="127">
      <formula>B11&gt;9</formula>
    </cfRule>
  </conditionalFormatting>
  <conditionalFormatting sqref="Y60">
    <cfRule type="expression" dxfId="92" priority="230">
      <formula>B11=11</formula>
    </cfRule>
    <cfRule type="expression" dxfId="91" priority="232">
      <formula>B11&gt;10</formula>
    </cfRule>
    <cfRule type="expression" dxfId="90" priority="236">
      <formula>B11&gt;10</formula>
    </cfRule>
  </conditionalFormatting>
  <conditionalFormatting sqref="Y60:Y63">
    <cfRule type="expression" dxfId="89" priority="235">
      <formula>$B$11&gt;10</formula>
    </cfRule>
    <cfRule type="expression" dxfId="88" priority="229">
      <formula>$B$11=11</formula>
    </cfRule>
  </conditionalFormatting>
  <conditionalFormatting sqref="Y63">
    <cfRule type="expression" dxfId="87" priority="227">
      <formula>B11=11</formula>
    </cfRule>
    <cfRule type="expression" dxfId="86" priority="231">
      <formula>B11&gt;10</formula>
    </cfRule>
    <cfRule type="expression" dxfId="85" priority="233">
      <formula>B11&gt;10</formula>
    </cfRule>
  </conditionalFormatting>
  <conditionalFormatting sqref="Y72">
    <cfRule type="expression" dxfId="84" priority="57">
      <formula>$B$11&gt;10</formula>
    </cfRule>
  </conditionalFormatting>
  <conditionalFormatting sqref="Y72:Y73">
    <cfRule type="expression" dxfId="83" priority="78">
      <formula>$B$11=11</formula>
    </cfRule>
  </conditionalFormatting>
  <conditionalFormatting sqref="Y73">
    <cfRule type="expression" dxfId="82" priority="56">
      <formula>$B$11&gt;10</formula>
    </cfRule>
  </conditionalFormatting>
  <conditionalFormatting sqref="Y76">
    <cfRule type="expression" dxfId="81" priority="148">
      <formula>B11&gt;10</formula>
    </cfRule>
    <cfRule type="expression" dxfId="80" priority="149">
      <formula>B11&gt;10</formula>
    </cfRule>
    <cfRule type="expression" dxfId="79" priority="147">
      <formula>B11=11</formula>
    </cfRule>
  </conditionalFormatting>
  <conditionalFormatting sqref="Y77:Y88">
    <cfRule type="expression" dxfId="78" priority="169">
      <formula>$B$11&gt;10</formula>
    </cfRule>
    <cfRule type="expression" dxfId="77" priority="168">
      <formula>$B$11=11</formula>
    </cfRule>
  </conditionalFormatting>
  <conditionalFormatting sqref="Y89">
    <cfRule type="expression" dxfId="76" priority="123">
      <formula>B11=11</formula>
    </cfRule>
    <cfRule type="expression" dxfId="75" priority="124">
      <formula>B11&gt;10</formula>
    </cfRule>
    <cfRule type="expression" dxfId="74" priority="125">
      <formula>B11&gt;10</formula>
    </cfRule>
  </conditionalFormatting>
  <conditionalFormatting sqref="Z60">
    <cfRule type="expression" dxfId="73" priority="226">
      <formula>B11&gt;11</formula>
    </cfRule>
    <cfRule type="expression" dxfId="72" priority="222">
      <formula>B11&gt;11</formula>
    </cfRule>
    <cfRule type="expression" dxfId="71" priority="220">
      <formula>B11=12</formula>
    </cfRule>
  </conditionalFormatting>
  <conditionalFormatting sqref="Z60:Z63">
    <cfRule type="expression" dxfId="70" priority="225">
      <formula>$B$11&gt;11</formula>
    </cfRule>
    <cfRule type="expression" dxfId="69" priority="219">
      <formula>$B$11=12</formula>
    </cfRule>
  </conditionalFormatting>
  <conditionalFormatting sqref="Z63">
    <cfRule type="expression" dxfId="68" priority="223">
      <formula>B11&gt;11</formula>
    </cfRule>
    <cfRule type="expression" dxfId="67" priority="221">
      <formula>B11&gt;11</formula>
    </cfRule>
    <cfRule type="expression" dxfId="66" priority="217">
      <formula>B11=12</formula>
    </cfRule>
  </conditionalFormatting>
  <conditionalFormatting sqref="Z72">
    <cfRule type="expression" dxfId="65" priority="55">
      <formula>$B$11&gt;11</formula>
    </cfRule>
  </conditionalFormatting>
  <conditionalFormatting sqref="Z72:Z73">
    <cfRule type="expression" dxfId="64" priority="76">
      <formula>$B$11=12</formula>
    </cfRule>
  </conditionalFormatting>
  <conditionalFormatting sqref="Z73">
    <cfRule type="expression" dxfId="63" priority="54">
      <formula>$B$11&gt;11</formula>
    </cfRule>
  </conditionalFormatting>
  <conditionalFormatting sqref="Z76">
    <cfRule type="expression" dxfId="62" priority="144">
      <formula>B11=12</formula>
    </cfRule>
    <cfRule type="expression" dxfId="61" priority="145">
      <formula>B11&gt;11</formula>
    </cfRule>
    <cfRule type="expression" dxfId="60" priority="146">
      <formula>B11&gt;11</formula>
    </cfRule>
  </conditionalFormatting>
  <conditionalFormatting sqref="Z77:Z88">
    <cfRule type="expression" dxfId="59" priority="166">
      <formula>$B$11=12</formula>
    </cfRule>
    <cfRule type="expression" dxfId="58" priority="167">
      <formula>$B$11&gt;11</formula>
    </cfRule>
  </conditionalFormatting>
  <conditionalFormatting sqref="Z89">
    <cfRule type="expression" dxfId="57" priority="120">
      <formula>B11=12</formula>
    </cfRule>
    <cfRule type="expression" dxfId="56" priority="122">
      <formula>B11&gt;11</formula>
    </cfRule>
    <cfRule type="expression" dxfId="55" priority="121">
      <formula>B11&gt;11</formula>
    </cfRule>
  </conditionalFormatting>
  <conditionalFormatting sqref="AA60">
    <cfRule type="expression" dxfId="54" priority="93">
      <formula>$B$11&gt;12</formula>
    </cfRule>
  </conditionalFormatting>
  <conditionalFormatting sqref="AA60:AA63">
    <cfRule type="expression" dxfId="53" priority="212">
      <formula>$B$11=13</formula>
    </cfRule>
    <cfRule type="expression" dxfId="52" priority="213">
      <formula>$B$11&gt;12</formula>
    </cfRule>
  </conditionalFormatting>
  <conditionalFormatting sqref="AA63">
    <cfRule type="expression" dxfId="51" priority="209">
      <formula>B11&gt;12</formula>
    </cfRule>
    <cfRule type="expression" dxfId="50" priority="207">
      <formula>B11=13</formula>
    </cfRule>
    <cfRule type="expression" dxfId="49" priority="208">
      <formula>B11&gt;12</formula>
    </cfRule>
  </conditionalFormatting>
  <conditionalFormatting sqref="AA72">
    <cfRule type="expression" dxfId="48" priority="53">
      <formula>$B$11&gt;12</formula>
    </cfRule>
  </conditionalFormatting>
  <conditionalFormatting sqref="AA72:AA73">
    <cfRule type="expression" dxfId="47" priority="74">
      <formula>$B$11=13</formula>
    </cfRule>
  </conditionalFormatting>
  <conditionalFormatting sqref="AA73">
    <cfRule type="expression" dxfId="46" priority="52">
      <formula>$B$11&gt;12</formula>
    </cfRule>
  </conditionalFormatting>
  <conditionalFormatting sqref="AA76">
    <cfRule type="expression" dxfId="45" priority="141">
      <formula>B11=13</formula>
    </cfRule>
    <cfRule type="expression" dxfId="44" priority="143">
      <formula>B11&gt;12</formula>
    </cfRule>
    <cfRule type="expression" dxfId="43" priority="142">
      <formula>B11&gt;12</formula>
    </cfRule>
  </conditionalFormatting>
  <conditionalFormatting sqref="AA77:AA88">
    <cfRule type="expression" dxfId="42" priority="164">
      <formula>$B$11=13</formula>
    </cfRule>
    <cfRule type="expression" dxfId="41" priority="165">
      <formula>$B$11&gt;12</formula>
    </cfRule>
  </conditionalFormatting>
  <conditionalFormatting sqref="AA89">
    <cfRule type="expression" dxfId="40" priority="117">
      <formula>B11=13</formula>
    </cfRule>
    <cfRule type="expression" dxfId="39" priority="118">
      <formula>B11&gt;12</formula>
    </cfRule>
    <cfRule type="expression" dxfId="38" priority="119">
      <formula>B11&gt;12</formula>
    </cfRule>
  </conditionalFormatting>
  <conditionalFormatting sqref="AB60">
    <cfRule type="expression" dxfId="37" priority="205">
      <formula>$B$11&gt;13</formula>
    </cfRule>
  </conditionalFormatting>
  <conditionalFormatting sqref="AB60:AB63">
    <cfRule type="expression" dxfId="36" priority="206">
      <formula>$B$11&gt;13</formula>
    </cfRule>
    <cfRule type="expression" dxfId="35" priority="204">
      <formula>$B$11=14</formula>
    </cfRule>
  </conditionalFormatting>
  <conditionalFormatting sqref="AB61:AB62">
    <cfRule type="expression" dxfId="34" priority="203">
      <formula>B11&gt;13</formula>
    </cfRule>
    <cfRule type="expression" dxfId="33" priority="201">
      <formula>B11=14</formula>
    </cfRule>
  </conditionalFormatting>
  <conditionalFormatting sqref="AB63">
    <cfRule type="expression" dxfId="32" priority="198">
      <formula>B11&gt;13</formula>
    </cfRule>
    <cfRule type="expression" dxfId="31" priority="197">
      <formula>B11&gt;13</formula>
    </cfRule>
    <cfRule type="expression" dxfId="30" priority="196">
      <formula>B11=14</formula>
    </cfRule>
  </conditionalFormatting>
  <conditionalFormatting sqref="AB72">
    <cfRule type="expression" dxfId="29" priority="51">
      <formula>$B$11&gt;13</formula>
    </cfRule>
  </conditionalFormatting>
  <conditionalFormatting sqref="AB72:AB73">
    <cfRule type="expression" dxfId="28" priority="72">
      <formula>$B$11=14</formula>
    </cfRule>
  </conditionalFormatting>
  <conditionalFormatting sqref="AB73">
    <cfRule type="expression" dxfId="27" priority="50">
      <formula>$B$11&gt;13</formula>
    </cfRule>
  </conditionalFormatting>
  <conditionalFormatting sqref="AB76">
    <cfRule type="expression" dxfId="26" priority="138">
      <formula>B11=14</formula>
    </cfRule>
    <cfRule type="expression" dxfId="25" priority="139">
      <formula>B11&gt;13</formula>
    </cfRule>
    <cfRule type="expression" dxfId="24" priority="140">
      <formula>B11&gt;13</formula>
    </cfRule>
  </conditionalFormatting>
  <conditionalFormatting sqref="AB77:AB88">
    <cfRule type="expression" dxfId="23" priority="163">
      <formula>$B$11&gt;13</formula>
    </cfRule>
    <cfRule type="expression" dxfId="22" priority="162">
      <formula>+$B$11=14</formula>
    </cfRule>
  </conditionalFormatting>
  <conditionalFormatting sqref="AB89">
    <cfRule type="expression" dxfId="21" priority="116">
      <formula>B11&gt;13</formula>
    </cfRule>
    <cfRule type="expression" dxfId="20" priority="115">
      <formula>B11&gt;13</formula>
    </cfRule>
    <cfRule type="expression" dxfId="19" priority="114">
      <formula>B11=14</formula>
    </cfRule>
  </conditionalFormatting>
  <conditionalFormatting sqref="AC60">
    <cfRule type="expression" dxfId="18" priority="194">
      <formula>$B$11&gt;14</formula>
    </cfRule>
  </conditionalFormatting>
  <conditionalFormatting sqref="AC60:AC63">
    <cfRule type="expression" dxfId="17" priority="195">
      <formula>$B$11&gt;14</formula>
    </cfRule>
    <cfRule type="expression" dxfId="16" priority="193">
      <formula>$B$11=15</formula>
    </cfRule>
  </conditionalFormatting>
  <conditionalFormatting sqref="AC61:AC62">
    <cfRule type="expression" dxfId="15" priority="191">
      <formula>B11=15</formula>
    </cfRule>
    <cfRule type="expression" dxfId="14" priority="192">
      <formula>B11&gt;14</formula>
    </cfRule>
  </conditionalFormatting>
  <conditionalFormatting sqref="AC63">
    <cfRule type="expression" dxfId="13" priority="186">
      <formula>B11=15</formula>
    </cfRule>
    <cfRule type="expression" dxfId="12" priority="187">
      <formula>B11&gt;14</formula>
    </cfRule>
    <cfRule type="expression" dxfId="11" priority="188">
      <formula>B11&gt;14</formula>
    </cfRule>
  </conditionalFormatting>
  <conditionalFormatting sqref="AC72">
    <cfRule type="expression" dxfId="10" priority="49">
      <formula>$B$11&gt;14</formula>
    </cfRule>
  </conditionalFormatting>
  <conditionalFormatting sqref="AC72:AC73">
    <cfRule type="expression" dxfId="9" priority="70">
      <formula>$B$11=15</formula>
    </cfRule>
  </conditionalFormatting>
  <conditionalFormatting sqref="AC73">
    <cfRule type="expression" dxfId="8" priority="48">
      <formula>$B$11&gt;14</formula>
    </cfRule>
  </conditionalFormatting>
  <conditionalFormatting sqref="AC76">
    <cfRule type="expression" dxfId="7" priority="136">
      <formula>B11&gt;14</formula>
    </cfRule>
    <cfRule type="expression" dxfId="6" priority="137">
      <formula>B11&gt;14</formula>
    </cfRule>
    <cfRule type="expression" dxfId="5" priority="135">
      <formula>B11=15</formula>
    </cfRule>
  </conditionalFormatting>
  <conditionalFormatting sqref="AC77:AC88">
    <cfRule type="expression" dxfId="4" priority="161">
      <formula>$B$11&gt;14</formula>
    </cfRule>
    <cfRule type="expression" dxfId="3" priority="160">
      <formula>$B$11=15</formula>
    </cfRule>
  </conditionalFormatting>
  <conditionalFormatting sqref="AC89">
    <cfRule type="expression" dxfId="2" priority="113">
      <formula>B11&gt;14</formula>
    </cfRule>
    <cfRule type="expression" dxfId="1" priority="111">
      <formula>B11=15</formula>
    </cfRule>
    <cfRule type="expression" dxfId="0" priority="112">
      <formula>B11&gt;14</formula>
    </cfRule>
  </conditionalFormatting>
  <dataValidations count="7">
    <dataValidation type="decimal" allowBlank="1" showInputMessage="1" showErrorMessage="1" error="U kunt maximaal een percentage van 3,0% invullen. Klik op &quot;Annuleren&quot; en vul een ander percentage in. " sqref="L49 JH49 TD49 ACZ49 AMV49 AWR49 BGN49 BQJ49 CAF49 CKB49 CTX49 DDT49 DNP49 DXL49 EHH49 ERD49 FAZ49 FKV49 FUR49 GEN49 GOJ49 GYF49 HIB49 HRX49 IBT49 ILP49 IVL49 JFH49 JPD49 JYZ49 KIV49 KSR49 LCN49 LMJ49 LWF49 MGB49 MPX49 MZT49 NJP49 NTL49 ODH49 OND49 OWZ49 PGV49 PQR49 QAN49 QKJ49 QUF49 REB49 RNX49 RXT49 SHP49 SRL49 TBH49 TLD49 TUZ49 UEV49 UOR49 UYN49 VIJ49 VSF49 WCB49 WLX49 WVT49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xr:uid="{BAB5037A-2106-4132-A206-359E19D50A95}">
      <formula1>0</formula1>
      <formula2>0.05</formula2>
    </dataValidation>
    <dataValidation type="decimal" allowBlank="1" showErrorMessage="1" error="U kunt maximaal een percentage van 3,0% invullen. Klik op &quot;Annuleren&quot; en vul een ander percentage in. " prompt="U kunt maximaal een percentage van 3,0% invullen. Klik op &quot;Annuleren&quot; en vul een ander percentage in. " sqref="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xr:uid="{A90A478C-69A9-4069-9A88-E9868C1ADCBA}">
      <formula1>0</formula1>
      <formula2>0.05</formula2>
    </dataValidation>
    <dataValidation type="decimal" allowBlank="1" showErrorMessage="1" error="U kunt maximaal een percentage van 3,0% invullen. Klik op &quot;Annuleren&quot; en vul een ander percentage in. " prompt="U kunt maximaal een percentage van 3,0% invullen. Klik op &quot;Annuleren&quot; en vul een ander percentage in. " sqref="WVT983054:WVT983056 L65550:L65552 JH65550:JH65552 TD65550:TD65552 ACZ65550:ACZ65552 AMV65550:AMV65552 AWR65550:AWR65552 BGN65550:BGN65552 BQJ65550:BQJ65552 CAF65550:CAF65552 CKB65550:CKB65552 CTX65550:CTX65552 DDT65550:DDT65552 DNP65550:DNP65552 DXL65550:DXL65552 EHH65550:EHH65552 ERD65550:ERD65552 FAZ65550:FAZ65552 FKV65550:FKV65552 FUR65550:FUR65552 GEN65550:GEN65552 GOJ65550:GOJ65552 GYF65550:GYF65552 HIB65550:HIB65552 HRX65550:HRX65552 IBT65550:IBT65552 ILP65550:ILP65552 IVL65550:IVL65552 JFH65550:JFH65552 JPD65550:JPD65552 JYZ65550:JYZ65552 KIV65550:KIV65552 KSR65550:KSR65552 LCN65550:LCN65552 LMJ65550:LMJ65552 LWF65550:LWF65552 MGB65550:MGB65552 MPX65550:MPX65552 MZT65550:MZT65552 NJP65550:NJP65552 NTL65550:NTL65552 ODH65550:ODH65552 OND65550:OND65552 OWZ65550:OWZ65552 PGV65550:PGV65552 PQR65550:PQR65552 QAN65550:QAN65552 QKJ65550:QKJ65552 QUF65550:QUF65552 REB65550:REB65552 RNX65550:RNX65552 RXT65550:RXT65552 SHP65550:SHP65552 SRL65550:SRL65552 TBH65550:TBH65552 TLD65550:TLD65552 TUZ65550:TUZ65552 UEV65550:UEV65552 UOR65550:UOR65552 UYN65550:UYN65552 VIJ65550:VIJ65552 VSF65550:VSF65552 WCB65550:WCB65552 WLX65550:WLX65552 WVT65550:WVT65552 L131086:L131088 JH131086:JH131088 TD131086:TD131088 ACZ131086:ACZ131088 AMV131086:AMV131088 AWR131086:AWR131088 BGN131086:BGN131088 BQJ131086:BQJ131088 CAF131086:CAF131088 CKB131086:CKB131088 CTX131086:CTX131088 DDT131086:DDT131088 DNP131086:DNP131088 DXL131086:DXL131088 EHH131086:EHH131088 ERD131086:ERD131088 FAZ131086:FAZ131088 FKV131086:FKV131088 FUR131086:FUR131088 GEN131086:GEN131088 GOJ131086:GOJ131088 GYF131086:GYF131088 HIB131086:HIB131088 HRX131086:HRX131088 IBT131086:IBT131088 ILP131086:ILP131088 IVL131086:IVL131088 JFH131086:JFH131088 JPD131086:JPD131088 JYZ131086:JYZ131088 KIV131086:KIV131088 KSR131086:KSR131088 LCN131086:LCN131088 LMJ131086:LMJ131088 LWF131086:LWF131088 MGB131086:MGB131088 MPX131086:MPX131088 MZT131086:MZT131088 NJP131086:NJP131088 NTL131086:NTL131088 ODH131086:ODH131088 OND131086:OND131088 OWZ131086:OWZ131088 PGV131086:PGV131088 PQR131086:PQR131088 QAN131086:QAN131088 QKJ131086:QKJ131088 QUF131086:QUF131088 REB131086:REB131088 RNX131086:RNX131088 RXT131086:RXT131088 SHP131086:SHP131088 SRL131086:SRL131088 TBH131086:TBH131088 TLD131086:TLD131088 TUZ131086:TUZ131088 UEV131086:UEV131088 UOR131086:UOR131088 UYN131086:UYN131088 VIJ131086:VIJ131088 VSF131086:VSF131088 WCB131086:WCB131088 WLX131086:WLX131088 WVT131086:WVT131088 L196622:L196624 JH196622:JH196624 TD196622:TD196624 ACZ196622:ACZ196624 AMV196622:AMV196624 AWR196622:AWR196624 BGN196622:BGN196624 BQJ196622:BQJ196624 CAF196622:CAF196624 CKB196622:CKB196624 CTX196622:CTX196624 DDT196622:DDT196624 DNP196622:DNP196624 DXL196622:DXL196624 EHH196622:EHH196624 ERD196622:ERD196624 FAZ196622:FAZ196624 FKV196622:FKV196624 FUR196622:FUR196624 GEN196622:GEN196624 GOJ196622:GOJ196624 GYF196622:GYF196624 HIB196622:HIB196624 HRX196622:HRX196624 IBT196622:IBT196624 ILP196622:ILP196624 IVL196622:IVL196624 JFH196622:JFH196624 JPD196622:JPD196624 JYZ196622:JYZ196624 KIV196622:KIV196624 KSR196622:KSR196624 LCN196622:LCN196624 LMJ196622:LMJ196624 LWF196622:LWF196624 MGB196622:MGB196624 MPX196622:MPX196624 MZT196622:MZT196624 NJP196622:NJP196624 NTL196622:NTL196624 ODH196622:ODH196624 OND196622:OND196624 OWZ196622:OWZ196624 PGV196622:PGV196624 PQR196622:PQR196624 QAN196622:QAN196624 QKJ196622:QKJ196624 QUF196622:QUF196624 REB196622:REB196624 RNX196622:RNX196624 RXT196622:RXT196624 SHP196622:SHP196624 SRL196622:SRL196624 TBH196622:TBH196624 TLD196622:TLD196624 TUZ196622:TUZ196624 UEV196622:UEV196624 UOR196622:UOR196624 UYN196622:UYN196624 VIJ196622:VIJ196624 VSF196622:VSF196624 WCB196622:WCB196624 WLX196622:WLX196624 WVT196622:WVT196624 L262158:L262160 JH262158:JH262160 TD262158:TD262160 ACZ262158:ACZ262160 AMV262158:AMV262160 AWR262158:AWR262160 BGN262158:BGN262160 BQJ262158:BQJ262160 CAF262158:CAF262160 CKB262158:CKB262160 CTX262158:CTX262160 DDT262158:DDT262160 DNP262158:DNP262160 DXL262158:DXL262160 EHH262158:EHH262160 ERD262158:ERD262160 FAZ262158:FAZ262160 FKV262158:FKV262160 FUR262158:FUR262160 GEN262158:GEN262160 GOJ262158:GOJ262160 GYF262158:GYF262160 HIB262158:HIB262160 HRX262158:HRX262160 IBT262158:IBT262160 ILP262158:ILP262160 IVL262158:IVL262160 JFH262158:JFH262160 JPD262158:JPD262160 JYZ262158:JYZ262160 KIV262158:KIV262160 KSR262158:KSR262160 LCN262158:LCN262160 LMJ262158:LMJ262160 LWF262158:LWF262160 MGB262158:MGB262160 MPX262158:MPX262160 MZT262158:MZT262160 NJP262158:NJP262160 NTL262158:NTL262160 ODH262158:ODH262160 OND262158:OND262160 OWZ262158:OWZ262160 PGV262158:PGV262160 PQR262158:PQR262160 QAN262158:QAN262160 QKJ262158:QKJ262160 QUF262158:QUF262160 REB262158:REB262160 RNX262158:RNX262160 RXT262158:RXT262160 SHP262158:SHP262160 SRL262158:SRL262160 TBH262158:TBH262160 TLD262158:TLD262160 TUZ262158:TUZ262160 UEV262158:UEV262160 UOR262158:UOR262160 UYN262158:UYN262160 VIJ262158:VIJ262160 VSF262158:VSF262160 WCB262158:WCB262160 WLX262158:WLX262160 WVT262158:WVT262160 L327694:L327696 JH327694:JH327696 TD327694:TD327696 ACZ327694:ACZ327696 AMV327694:AMV327696 AWR327694:AWR327696 BGN327694:BGN327696 BQJ327694:BQJ327696 CAF327694:CAF327696 CKB327694:CKB327696 CTX327694:CTX327696 DDT327694:DDT327696 DNP327694:DNP327696 DXL327694:DXL327696 EHH327694:EHH327696 ERD327694:ERD327696 FAZ327694:FAZ327696 FKV327694:FKV327696 FUR327694:FUR327696 GEN327694:GEN327696 GOJ327694:GOJ327696 GYF327694:GYF327696 HIB327694:HIB327696 HRX327694:HRX327696 IBT327694:IBT327696 ILP327694:ILP327696 IVL327694:IVL327696 JFH327694:JFH327696 JPD327694:JPD327696 JYZ327694:JYZ327696 KIV327694:KIV327696 KSR327694:KSR327696 LCN327694:LCN327696 LMJ327694:LMJ327696 LWF327694:LWF327696 MGB327694:MGB327696 MPX327694:MPX327696 MZT327694:MZT327696 NJP327694:NJP327696 NTL327694:NTL327696 ODH327694:ODH327696 OND327694:OND327696 OWZ327694:OWZ327696 PGV327694:PGV327696 PQR327694:PQR327696 QAN327694:QAN327696 QKJ327694:QKJ327696 QUF327694:QUF327696 REB327694:REB327696 RNX327694:RNX327696 RXT327694:RXT327696 SHP327694:SHP327696 SRL327694:SRL327696 TBH327694:TBH327696 TLD327694:TLD327696 TUZ327694:TUZ327696 UEV327694:UEV327696 UOR327694:UOR327696 UYN327694:UYN327696 VIJ327694:VIJ327696 VSF327694:VSF327696 WCB327694:WCB327696 WLX327694:WLX327696 WVT327694:WVT327696 L393230:L393232 JH393230:JH393232 TD393230:TD393232 ACZ393230:ACZ393232 AMV393230:AMV393232 AWR393230:AWR393232 BGN393230:BGN393232 BQJ393230:BQJ393232 CAF393230:CAF393232 CKB393230:CKB393232 CTX393230:CTX393232 DDT393230:DDT393232 DNP393230:DNP393232 DXL393230:DXL393232 EHH393230:EHH393232 ERD393230:ERD393232 FAZ393230:FAZ393232 FKV393230:FKV393232 FUR393230:FUR393232 GEN393230:GEN393232 GOJ393230:GOJ393232 GYF393230:GYF393232 HIB393230:HIB393232 HRX393230:HRX393232 IBT393230:IBT393232 ILP393230:ILP393232 IVL393230:IVL393232 JFH393230:JFH393232 JPD393230:JPD393232 JYZ393230:JYZ393232 KIV393230:KIV393232 KSR393230:KSR393232 LCN393230:LCN393232 LMJ393230:LMJ393232 LWF393230:LWF393232 MGB393230:MGB393232 MPX393230:MPX393232 MZT393230:MZT393232 NJP393230:NJP393232 NTL393230:NTL393232 ODH393230:ODH393232 OND393230:OND393232 OWZ393230:OWZ393232 PGV393230:PGV393232 PQR393230:PQR393232 QAN393230:QAN393232 QKJ393230:QKJ393232 QUF393230:QUF393232 REB393230:REB393232 RNX393230:RNX393232 RXT393230:RXT393232 SHP393230:SHP393232 SRL393230:SRL393232 TBH393230:TBH393232 TLD393230:TLD393232 TUZ393230:TUZ393232 UEV393230:UEV393232 UOR393230:UOR393232 UYN393230:UYN393232 VIJ393230:VIJ393232 VSF393230:VSF393232 WCB393230:WCB393232 WLX393230:WLX393232 WVT393230:WVT393232 L458766:L458768 JH458766:JH458768 TD458766:TD458768 ACZ458766:ACZ458768 AMV458766:AMV458768 AWR458766:AWR458768 BGN458766:BGN458768 BQJ458766:BQJ458768 CAF458766:CAF458768 CKB458766:CKB458768 CTX458766:CTX458768 DDT458766:DDT458768 DNP458766:DNP458768 DXL458766:DXL458768 EHH458766:EHH458768 ERD458766:ERD458768 FAZ458766:FAZ458768 FKV458766:FKV458768 FUR458766:FUR458768 GEN458766:GEN458768 GOJ458766:GOJ458768 GYF458766:GYF458768 HIB458766:HIB458768 HRX458766:HRX458768 IBT458766:IBT458768 ILP458766:ILP458768 IVL458766:IVL458768 JFH458766:JFH458768 JPD458766:JPD458768 JYZ458766:JYZ458768 KIV458766:KIV458768 KSR458766:KSR458768 LCN458766:LCN458768 LMJ458766:LMJ458768 LWF458766:LWF458768 MGB458766:MGB458768 MPX458766:MPX458768 MZT458766:MZT458768 NJP458766:NJP458768 NTL458766:NTL458768 ODH458766:ODH458768 OND458766:OND458768 OWZ458766:OWZ458768 PGV458766:PGV458768 PQR458766:PQR458768 QAN458766:QAN458768 QKJ458766:QKJ458768 QUF458766:QUF458768 REB458766:REB458768 RNX458766:RNX458768 RXT458766:RXT458768 SHP458766:SHP458768 SRL458766:SRL458768 TBH458766:TBH458768 TLD458766:TLD458768 TUZ458766:TUZ458768 UEV458766:UEV458768 UOR458766:UOR458768 UYN458766:UYN458768 VIJ458766:VIJ458768 VSF458766:VSF458768 WCB458766:WCB458768 WLX458766:WLX458768 WVT458766:WVT458768 L524302:L524304 JH524302:JH524304 TD524302:TD524304 ACZ524302:ACZ524304 AMV524302:AMV524304 AWR524302:AWR524304 BGN524302:BGN524304 BQJ524302:BQJ524304 CAF524302:CAF524304 CKB524302:CKB524304 CTX524302:CTX524304 DDT524302:DDT524304 DNP524302:DNP524304 DXL524302:DXL524304 EHH524302:EHH524304 ERD524302:ERD524304 FAZ524302:FAZ524304 FKV524302:FKV524304 FUR524302:FUR524304 GEN524302:GEN524304 GOJ524302:GOJ524304 GYF524302:GYF524304 HIB524302:HIB524304 HRX524302:HRX524304 IBT524302:IBT524304 ILP524302:ILP524304 IVL524302:IVL524304 JFH524302:JFH524304 JPD524302:JPD524304 JYZ524302:JYZ524304 KIV524302:KIV524304 KSR524302:KSR524304 LCN524302:LCN524304 LMJ524302:LMJ524304 LWF524302:LWF524304 MGB524302:MGB524304 MPX524302:MPX524304 MZT524302:MZT524304 NJP524302:NJP524304 NTL524302:NTL524304 ODH524302:ODH524304 OND524302:OND524304 OWZ524302:OWZ524304 PGV524302:PGV524304 PQR524302:PQR524304 QAN524302:QAN524304 QKJ524302:QKJ524304 QUF524302:QUF524304 REB524302:REB524304 RNX524302:RNX524304 RXT524302:RXT524304 SHP524302:SHP524304 SRL524302:SRL524304 TBH524302:TBH524304 TLD524302:TLD524304 TUZ524302:TUZ524304 UEV524302:UEV524304 UOR524302:UOR524304 UYN524302:UYN524304 VIJ524302:VIJ524304 VSF524302:VSF524304 WCB524302:WCB524304 WLX524302:WLX524304 WVT524302:WVT524304 L589838:L589840 JH589838:JH589840 TD589838:TD589840 ACZ589838:ACZ589840 AMV589838:AMV589840 AWR589838:AWR589840 BGN589838:BGN589840 BQJ589838:BQJ589840 CAF589838:CAF589840 CKB589838:CKB589840 CTX589838:CTX589840 DDT589838:DDT589840 DNP589838:DNP589840 DXL589838:DXL589840 EHH589838:EHH589840 ERD589838:ERD589840 FAZ589838:FAZ589840 FKV589838:FKV589840 FUR589838:FUR589840 GEN589838:GEN589840 GOJ589838:GOJ589840 GYF589838:GYF589840 HIB589838:HIB589840 HRX589838:HRX589840 IBT589838:IBT589840 ILP589838:ILP589840 IVL589838:IVL589840 JFH589838:JFH589840 JPD589838:JPD589840 JYZ589838:JYZ589840 KIV589838:KIV589840 KSR589838:KSR589840 LCN589838:LCN589840 LMJ589838:LMJ589840 LWF589838:LWF589840 MGB589838:MGB589840 MPX589838:MPX589840 MZT589838:MZT589840 NJP589838:NJP589840 NTL589838:NTL589840 ODH589838:ODH589840 OND589838:OND589840 OWZ589838:OWZ589840 PGV589838:PGV589840 PQR589838:PQR589840 QAN589838:QAN589840 QKJ589838:QKJ589840 QUF589838:QUF589840 REB589838:REB589840 RNX589838:RNX589840 RXT589838:RXT589840 SHP589838:SHP589840 SRL589838:SRL589840 TBH589838:TBH589840 TLD589838:TLD589840 TUZ589838:TUZ589840 UEV589838:UEV589840 UOR589838:UOR589840 UYN589838:UYN589840 VIJ589838:VIJ589840 VSF589838:VSF589840 WCB589838:WCB589840 WLX589838:WLX589840 WVT589838:WVT589840 L655374:L655376 JH655374:JH655376 TD655374:TD655376 ACZ655374:ACZ655376 AMV655374:AMV655376 AWR655374:AWR655376 BGN655374:BGN655376 BQJ655374:BQJ655376 CAF655374:CAF655376 CKB655374:CKB655376 CTX655374:CTX655376 DDT655374:DDT655376 DNP655374:DNP655376 DXL655374:DXL655376 EHH655374:EHH655376 ERD655374:ERD655376 FAZ655374:FAZ655376 FKV655374:FKV655376 FUR655374:FUR655376 GEN655374:GEN655376 GOJ655374:GOJ655376 GYF655374:GYF655376 HIB655374:HIB655376 HRX655374:HRX655376 IBT655374:IBT655376 ILP655374:ILP655376 IVL655374:IVL655376 JFH655374:JFH655376 JPD655374:JPD655376 JYZ655374:JYZ655376 KIV655374:KIV655376 KSR655374:KSR655376 LCN655374:LCN655376 LMJ655374:LMJ655376 LWF655374:LWF655376 MGB655374:MGB655376 MPX655374:MPX655376 MZT655374:MZT655376 NJP655374:NJP655376 NTL655374:NTL655376 ODH655374:ODH655376 OND655374:OND655376 OWZ655374:OWZ655376 PGV655374:PGV655376 PQR655374:PQR655376 QAN655374:QAN655376 QKJ655374:QKJ655376 QUF655374:QUF655376 REB655374:REB655376 RNX655374:RNX655376 RXT655374:RXT655376 SHP655374:SHP655376 SRL655374:SRL655376 TBH655374:TBH655376 TLD655374:TLD655376 TUZ655374:TUZ655376 UEV655374:UEV655376 UOR655374:UOR655376 UYN655374:UYN655376 VIJ655374:VIJ655376 VSF655374:VSF655376 WCB655374:WCB655376 WLX655374:WLX655376 WVT655374:WVT655376 L720910:L720912 JH720910:JH720912 TD720910:TD720912 ACZ720910:ACZ720912 AMV720910:AMV720912 AWR720910:AWR720912 BGN720910:BGN720912 BQJ720910:BQJ720912 CAF720910:CAF720912 CKB720910:CKB720912 CTX720910:CTX720912 DDT720910:DDT720912 DNP720910:DNP720912 DXL720910:DXL720912 EHH720910:EHH720912 ERD720910:ERD720912 FAZ720910:FAZ720912 FKV720910:FKV720912 FUR720910:FUR720912 GEN720910:GEN720912 GOJ720910:GOJ720912 GYF720910:GYF720912 HIB720910:HIB720912 HRX720910:HRX720912 IBT720910:IBT720912 ILP720910:ILP720912 IVL720910:IVL720912 JFH720910:JFH720912 JPD720910:JPD720912 JYZ720910:JYZ720912 KIV720910:KIV720912 KSR720910:KSR720912 LCN720910:LCN720912 LMJ720910:LMJ720912 LWF720910:LWF720912 MGB720910:MGB720912 MPX720910:MPX720912 MZT720910:MZT720912 NJP720910:NJP720912 NTL720910:NTL720912 ODH720910:ODH720912 OND720910:OND720912 OWZ720910:OWZ720912 PGV720910:PGV720912 PQR720910:PQR720912 QAN720910:QAN720912 QKJ720910:QKJ720912 QUF720910:QUF720912 REB720910:REB720912 RNX720910:RNX720912 RXT720910:RXT720912 SHP720910:SHP720912 SRL720910:SRL720912 TBH720910:TBH720912 TLD720910:TLD720912 TUZ720910:TUZ720912 UEV720910:UEV720912 UOR720910:UOR720912 UYN720910:UYN720912 VIJ720910:VIJ720912 VSF720910:VSF720912 WCB720910:WCB720912 WLX720910:WLX720912 WVT720910:WVT720912 L786446:L786448 JH786446:JH786448 TD786446:TD786448 ACZ786446:ACZ786448 AMV786446:AMV786448 AWR786446:AWR786448 BGN786446:BGN786448 BQJ786446:BQJ786448 CAF786446:CAF786448 CKB786446:CKB786448 CTX786446:CTX786448 DDT786446:DDT786448 DNP786446:DNP786448 DXL786446:DXL786448 EHH786446:EHH786448 ERD786446:ERD786448 FAZ786446:FAZ786448 FKV786446:FKV786448 FUR786446:FUR786448 GEN786446:GEN786448 GOJ786446:GOJ786448 GYF786446:GYF786448 HIB786446:HIB786448 HRX786446:HRX786448 IBT786446:IBT786448 ILP786446:ILP786448 IVL786446:IVL786448 JFH786446:JFH786448 JPD786446:JPD786448 JYZ786446:JYZ786448 KIV786446:KIV786448 KSR786446:KSR786448 LCN786446:LCN786448 LMJ786446:LMJ786448 LWF786446:LWF786448 MGB786446:MGB786448 MPX786446:MPX786448 MZT786446:MZT786448 NJP786446:NJP786448 NTL786446:NTL786448 ODH786446:ODH786448 OND786446:OND786448 OWZ786446:OWZ786448 PGV786446:PGV786448 PQR786446:PQR786448 QAN786446:QAN786448 QKJ786446:QKJ786448 QUF786446:QUF786448 REB786446:REB786448 RNX786446:RNX786448 RXT786446:RXT786448 SHP786446:SHP786448 SRL786446:SRL786448 TBH786446:TBH786448 TLD786446:TLD786448 TUZ786446:TUZ786448 UEV786446:UEV786448 UOR786446:UOR786448 UYN786446:UYN786448 VIJ786446:VIJ786448 VSF786446:VSF786448 WCB786446:WCB786448 WLX786446:WLX786448 WVT786446:WVT786448 L851982:L851984 JH851982:JH851984 TD851982:TD851984 ACZ851982:ACZ851984 AMV851982:AMV851984 AWR851982:AWR851984 BGN851982:BGN851984 BQJ851982:BQJ851984 CAF851982:CAF851984 CKB851982:CKB851984 CTX851982:CTX851984 DDT851982:DDT851984 DNP851982:DNP851984 DXL851982:DXL851984 EHH851982:EHH851984 ERD851982:ERD851984 FAZ851982:FAZ851984 FKV851982:FKV851984 FUR851982:FUR851984 GEN851982:GEN851984 GOJ851982:GOJ851984 GYF851982:GYF851984 HIB851982:HIB851984 HRX851982:HRX851984 IBT851982:IBT851984 ILP851982:ILP851984 IVL851982:IVL851984 JFH851982:JFH851984 JPD851982:JPD851984 JYZ851982:JYZ851984 KIV851982:KIV851984 KSR851982:KSR851984 LCN851982:LCN851984 LMJ851982:LMJ851984 LWF851982:LWF851984 MGB851982:MGB851984 MPX851982:MPX851984 MZT851982:MZT851984 NJP851982:NJP851984 NTL851982:NTL851984 ODH851982:ODH851984 OND851982:OND851984 OWZ851982:OWZ851984 PGV851982:PGV851984 PQR851982:PQR851984 QAN851982:QAN851984 QKJ851982:QKJ851984 QUF851982:QUF851984 REB851982:REB851984 RNX851982:RNX851984 RXT851982:RXT851984 SHP851982:SHP851984 SRL851982:SRL851984 TBH851982:TBH851984 TLD851982:TLD851984 TUZ851982:TUZ851984 UEV851982:UEV851984 UOR851982:UOR851984 UYN851982:UYN851984 VIJ851982:VIJ851984 VSF851982:VSF851984 WCB851982:WCB851984 WLX851982:WLX851984 WVT851982:WVT851984 L917518:L917520 JH917518:JH917520 TD917518:TD917520 ACZ917518:ACZ917520 AMV917518:AMV917520 AWR917518:AWR917520 BGN917518:BGN917520 BQJ917518:BQJ917520 CAF917518:CAF917520 CKB917518:CKB917520 CTX917518:CTX917520 DDT917518:DDT917520 DNP917518:DNP917520 DXL917518:DXL917520 EHH917518:EHH917520 ERD917518:ERD917520 FAZ917518:FAZ917520 FKV917518:FKV917520 FUR917518:FUR917520 GEN917518:GEN917520 GOJ917518:GOJ917520 GYF917518:GYF917520 HIB917518:HIB917520 HRX917518:HRX917520 IBT917518:IBT917520 ILP917518:ILP917520 IVL917518:IVL917520 JFH917518:JFH917520 JPD917518:JPD917520 JYZ917518:JYZ917520 KIV917518:KIV917520 KSR917518:KSR917520 LCN917518:LCN917520 LMJ917518:LMJ917520 LWF917518:LWF917520 MGB917518:MGB917520 MPX917518:MPX917520 MZT917518:MZT917520 NJP917518:NJP917520 NTL917518:NTL917520 ODH917518:ODH917520 OND917518:OND917520 OWZ917518:OWZ917520 PGV917518:PGV917520 PQR917518:PQR917520 QAN917518:QAN917520 QKJ917518:QKJ917520 QUF917518:QUF917520 REB917518:REB917520 RNX917518:RNX917520 RXT917518:RXT917520 SHP917518:SHP917520 SRL917518:SRL917520 TBH917518:TBH917520 TLD917518:TLD917520 TUZ917518:TUZ917520 UEV917518:UEV917520 UOR917518:UOR917520 UYN917518:UYN917520 VIJ917518:VIJ917520 VSF917518:VSF917520 WCB917518:WCB917520 WLX917518:WLX917520 WVT917518:WVT917520 L983054:L983056 JH983054:JH983056 TD983054:TD983056 ACZ983054:ACZ983056 AMV983054:AMV983056 AWR983054:AWR983056 BGN983054:BGN983056 BQJ983054:BQJ983056 CAF983054:CAF983056 CKB983054:CKB983056 CTX983054:CTX983056 DDT983054:DDT983056 DNP983054:DNP983056 DXL983054:DXL983056 EHH983054:EHH983056 ERD983054:ERD983056 FAZ983054:FAZ983056 FKV983054:FKV983056 FUR983054:FUR983056 GEN983054:GEN983056 GOJ983054:GOJ983056 GYF983054:GYF983056 HIB983054:HIB983056 HRX983054:HRX983056 IBT983054:IBT983056 ILP983054:ILP983056 IVL983054:IVL983056 JFH983054:JFH983056 JPD983054:JPD983056 JYZ983054:JYZ983056 KIV983054:KIV983056 KSR983054:KSR983056 LCN983054:LCN983056 LMJ983054:LMJ983056 LWF983054:LWF983056 MGB983054:MGB983056 MPX983054:MPX983056 MZT983054:MZT983056 NJP983054:NJP983056 NTL983054:NTL983056 ODH983054:ODH983056 OND983054:OND983056 OWZ983054:OWZ983056 PGV983054:PGV983056 PQR983054:PQR983056 QAN983054:QAN983056 QKJ983054:QKJ983056 QUF983054:QUF983056 REB983054:REB983056 RNX983054:RNX983056 RXT983054:RXT983056 SHP983054:SHP983056 SRL983054:SRL983056 TBH983054:TBH983056 TLD983054:TLD983056 TUZ983054:TUZ983056 UEV983054:UEV983056 UOR983054:UOR983056 UYN983054:UYN983056 VIJ983054:VIJ983056 VSF983054:VSF983056 WCB983054:WCB983056 WLX983054:WLX983056 L39 JH39:JH41 WVT42:WVT45 WVT39:WVT41 WLX42:WLX45 WLX39:WLX41 WCB42:WCB45 WCB39:WCB41 VSF42:VSF45 VSF39:VSF41 VIJ42:VIJ45 VIJ39:VIJ41 UYN42:UYN45 UYN39:UYN41 UOR42:UOR45 UOR39:UOR41 UEV42:UEV45 UEV39:UEV41 TUZ42:TUZ45 TUZ39:TUZ41 TLD42:TLD45 TLD39:TLD41 TBH42:TBH45 TBH39:TBH41 SRL42:SRL45 SRL39:SRL41 SHP42:SHP45 SHP39:SHP41 RXT42:RXT45 RXT39:RXT41 RNX42:RNX45 RNX39:RNX41 REB42:REB45 REB39:REB41 QUF42:QUF45 QUF39:QUF41 QKJ42:QKJ45 QKJ39:QKJ41 QAN42:QAN45 QAN39:QAN41 PQR42:PQR45 PQR39:PQR41 PGV42:PGV45 PGV39:PGV41 OWZ42:OWZ45 OWZ39:OWZ41 OND42:OND45 OND39:OND41 ODH42:ODH45 ODH39:ODH41 NTL42:NTL45 NTL39:NTL41 NJP42:NJP45 NJP39:NJP41 MZT42:MZT45 MZT39:MZT41 MPX42:MPX45 MPX39:MPX41 MGB42:MGB45 MGB39:MGB41 LWF42:LWF45 LWF39:LWF41 LMJ42:LMJ45 LMJ39:LMJ41 LCN42:LCN45 LCN39:LCN41 KSR42:KSR45 KSR39:KSR41 KIV42:KIV45 KIV39:KIV41 JYZ42:JYZ45 JYZ39:JYZ41 JPD42:JPD45 JPD39:JPD41 JFH42:JFH45 JFH39:JFH41 IVL42:IVL45 IVL39:IVL41 ILP42:ILP45 ILP39:ILP41 IBT42:IBT45 IBT39:IBT41 HRX42:HRX45 HRX39:HRX41 HIB42:HIB45 HIB39:HIB41 GYF42:GYF45 GYF39:GYF41 GOJ42:GOJ45 GOJ39:GOJ41 GEN42:GEN45 GEN39:GEN41 FUR42:FUR45 FUR39:FUR41 FKV42:FKV45 FKV39:FKV41 FAZ42:FAZ45 FAZ39:FAZ41 ERD42:ERD45 ERD39:ERD41 EHH42:EHH45 EHH39:EHH41 DXL42:DXL45 DXL39:DXL41 DNP42:DNP45 DNP39:DNP41 DDT42:DDT45 DDT39:DDT41 CTX42:CTX45 CTX39:CTX41 CKB42:CKB45 CKB39:CKB41 CAF42:CAF45 CAF39:CAF41 BQJ42:BQJ45 BQJ39:BQJ41 BGN42:BGN45 BGN39:BGN41 AWR42:AWR45 AWR39:AWR41 AMV42:AMV45 AMV39:AMV41 ACZ42:ACZ45 ACZ39:ACZ41 TD42:TD45 TD39:TD41 JH42:JH45 L43:L45" xr:uid="{2C8B5BE5-C519-4366-9FE6-C45E1385E7F6}">
      <formula1>0</formula1>
      <formula2>0.03</formula2>
    </dataValidation>
    <dataValidation type="whole" allowBlank="1" showInputMessage="1" showErrorMessage="1" error="U moet hier een 1 of 2 invullen." sqref="H3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xr:uid="{010F7B85-A746-44C5-A4A9-6CB0858E6550}">
      <formula1>1</formula1>
      <formula2>2</formula2>
    </dataValidation>
    <dataValidation type="whole" allowBlank="1" showInputMessage="1" showErrorMessage="1" error="U moet hier een geheel aantal jaren met een maximum van de subsidielooptijd invullen." sqref="WVM983048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xr:uid="{535AD22C-A322-4CC2-9149-A2A8A86EF78B}">
      <formula1>0</formula1>
      <formula2>15</formula2>
    </dataValidation>
    <dataValidation type="decimal" allowBlank="1" showInputMessage="1" showErrorMessage="1" error="U kunt maximaal een percentage van 3,0% invullen. Klik op &quot;Annuleren&quot; en vul een ander percentage in. " sqref="L50:L51 JH50:JH51 TD50:TD51 ACZ50:ACZ51 AMV50:AMV51 AWR50:AWR51 BGN50:BGN51 BQJ50:BQJ51 CAF50:CAF51 CKB50:CKB51 CTX50:CTX51 DDT50:DDT51 DNP50:DNP51 DXL50:DXL51 EHH50:EHH51 ERD50:ERD51 FAZ50:FAZ51 FKV50:FKV51 FUR50:FUR51 GEN50:GEN51 GOJ50:GOJ51 GYF50:GYF51 HIB50:HIB51 HRX50:HRX51 IBT50:IBT51 ILP50:ILP51 IVL50:IVL51 JFH50:JFH51 JPD50:JPD51 JYZ50:JYZ51 KIV50:KIV51 KSR50:KSR51 LCN50:LCN51 LMJ50:LMJ51 LWF50:LWF51 MGB50:MGB51 MPX50:MPX51 MZT50:MZT51 NJP50:NJP51 NTL50:NTL51 ODH50:ODH51 OND50:OND51 OWZ50:OWZ51 PGV50:PGV51 PQR50:PQR51 QAN50:QAN51 QKJ50:QKJ51 QUF50:QUF51 REB50:REB51 RNX50:RNX51 RXT50:RXT51 SHP50:SHP51 SRL50:SRL51 TBH50:TBH51 TLD50:TLD51 TUZ50:TUZ51 UEV50:UEV51 UOR50:UOR51 UYN50:UYN51 VIJ50:VIJ51 VSF50:VSF51 WCB50:WCB51 WLX50:WLX51 WVT50:WVT51 L65561:L65562 JH65561:JH65562 TD65561:TD65562 ACZ65561:ACZ65562 AMV65561:AMV65562 AWR65561:AWR65562 BGN65561:BGN65562 BQJ65561:BQJ65562 CAF65561:CAF65562 CKB65561:CKB65562 CTX65561:CTX65562 DDT65561:DDT65562 DNP65561:DNP65562 DXL65561:DXL65562 EHH65561:EHH65562 ERD65561:ERD65562 FAZ65561:FAZ65562 FKV65561:FKV65562 FUR65561:FUR65562 GEN65561:GEN65562 GOJ65561:GOJ65562 GYF65561:GYF65562 HIB65561:HIB65562 HRX65561:HRX65562 IBT65561:IBT65562 ILP65561:ILP65562 IVL65561:IVL65562 JFH65561:JFH65562 JPD65561:JPD65562 JYZ65561:JYZ65562 KIV65561:KIV65562 KSR65561:KSR65562 LCN65561:LCN65562 LMJ65561:LMJ65562 LWF65561:LWF65562 MGB65561:MGB65562 MPX65561:MPX65562 MZT65561:MZT65562 NJP65561:NJP65562 NTL65561:NTL65562 ODH65561:ODH65562 OND65561:OND65562 OWZ65561:OWZ65562 PGV65561:PGV65562 PQR65561:PQR65562 QAN65561:QAN65562 QKJ65561:QKJ65562 QUF65561:QUF65562 REB65561:REB65562 RNX65561:RNX65562 RXT65561:RXT65562 SHP65561:SHP65562 SRL65561:SRL65562 TBH65561:TBH65562 TLD65561:TLD65562 TUZ65561:TUZ65562 UEV65561:UEV65562 UOR65561:UOR65562 UYN65561:UYN65562 VIJ65561:VIJ65562 VSF65561:VSF65562 WCB65561:WCB65562 WLX65561:WLX65562 WVT65561:WVT65562 L131097:L131098 JH131097:JH131098 TD131097:TD131098 ACZ131097:ACZ131098 AMV131097:AMV131098 AWR131097:AWR131098 BGN131097:BGN131098 BQJ131097:BQJ131098 CAF131097:CAF131098 CKB131097:CKB131098 CTX131097:CTX131098 DDT131097:DDT131098 DNP131097:DNP131098 DXL131097:DXL131098 EHH131097:EHH131098 ERD131097:ERD131098 FAZ131097:FAZ131098 FKV131097:FKV131098 FUR131097:FUR131098 GEN131097:GEN131098 GOJ131097:GOJ131098 GYF131097:GYF131098 HIB131097:HIB131098 HRX131097:HRX131098 IBT131097:IBT131098 ILP131097:ILP131098 IVL131097:IVL131098 JFH131097:JFH131098 JPD131097:JPD131098 JYZ131097:JYZ131098 KIV131097:KIV131098 KSR131097:KSR131098 LCN131097:LCN131098 LMJ131097:LMJ131098 LWF131097:LWF131098 MGB131097:MGB131098 MPX131097:MPX131098 MZT131097:MZT131098 NJP131097:NJP131098 NTL131097:NTL131098 ODH131097:ODH131098 OND131097:OND131098 OWZ131097:OWZ131098 PGV131097:PGV131098 PQR131097:PQR131098 QAN131097:QAN131098 QKJ131097:QKJ131098 QUF131097:QUF131098 REB131097:REB131098 RNX131097:RNX131098 RXT131097:RXT131098 SHP131097:SHP131098 SRL131097:SRL131098 TBH131097:TBH131098 TLD131097:TLD131098 TUZ131097:TUZ131098 UEV131097:UEV131098 UOR131097:UOR131098 UYN131097:UYN131098 VIJ131097:VIJ131098 VSF131097:VSF131098 WCB131097:WCB131098 WLX131097:WLX131098 WVT131097:WVT131098 L196633:L196634 JH196633:JH196634 TD196633:TD196634 ACZ196633:ACZ196634 AMV196633:AMV196634 AWR196633:AWR196634 BGN196633:BGN196634 BQJ196633:BQJ196634 CAF196633:CAF196634 CKB196633:CKB196634 CTX196633:CTX196634 DDT196633:DDT196634 DNP196633:DNP196634 DXL196633:DXL196634 EHH196633:EHH196634 ERD196633:ERD196634 FAZ196633:FAZ196634 FKV196633:FKV196634 FUR196633:FUR196634 GEN196633:GEN196634 GOJ196633:GOJ196634 GYF196633:GYF196634 HIB196633:HIB196634 HRX196633:HRX196634 IBT196633:IBT196634 ILP196633:ILP196634 IVL196633:IVL196634 JFH196633:JFH196634 JPD196633:JPD196634 JYZ196633:JYZ196634 KIV196633:KIV196634 KSR196633:KSR196634 LCN196633:LCN196634 LMJ196633:LMJ196634 LWF196633:LWF196634 MGB196633:MGB196634 MPX196633:MPX196634 MZT196633:MZT196634 NJP196633:NJP196634 NTL196633:NTL196634 ODH196633:ODH196634 OND196633:OND196634 OWZ196633:OWZ196634 PGV196633:PGV196634 PQR196633:PQR196634 QAN196633:QAN196634 QKJ196633:QKJ196634 QUF196633:QUF196634 REB196633:REB196634 RNX196633:RNX196634 RXT196633:RXT196634 SHP196633:SHP196634 SRL196633:SRL196634 TBH196633:TBH196634 TLD196633:TLD196634 TUZ196633:TUZ196634 UEV196633:UEV196634 UOR196633:UOR196634 UYN196633:UYN196634 VIJ196633:VIJ196634 VSF196633:VSF196634 WCB196633:WCB196634 WLX196633:WLX196634 WVT196633:WVT196634 L262169:L262170 JH262169:JH262170 TD262169:TD262170 ACZ262169:ACZ262170 AMV262169:AMV262170 AWR262169:AWR262170 BGN262169:BGN262170 BQJ262169:BQJ262170 CAF262169:CAF262170 CKB262169:CKB262170 CTX262169:CTX262170 DDT262169:DDT262170 DNP262169:DNP262170 DXL262169:DXL262170 EHH262169:EHH262170 ERD262169:ERD262170 FAZ262169:FAZ262170 FKV262169:FKV262170 FUR262169:FUR262170 GEN262169:GEN262170 GOJ262169:GOJ262170 GYF262169:GYF262170 HIB262169:HIB262170 HRX262169:HRX262170 IBT262169:IBT262170 ILP262169:ILP262170 IVL262169:IVL262170 JFH262169:JFH262170 JPD262169:JPD262170 JYZ262169:JYZ262170 KIV262169:KIV262170 KSR262169:KSR262170 LCN262169:LCN262170 LMJ262169:LMJ262170 LWF262169:LWF262170 MGB262169:MGB262170 MPX262169:MPX262170 MZT262169:MZT262170 NJP262169:NJP262170 NTL262169:NTL262170 ODH262169:ODH262170 OND262169:OND262170 OWZ262169:OWZ262170 PGV262169:PGV262170 PQR262169:PQR262170 QAN262169:QAN262170 QKJ262169:QKJ262170 QUF262169:QUF262170 REB262169:REB262170 RNX262169:RNX262170 RXT262169:RXT262170 SHP262169:SHP262170 SRL262169:SRL262170 TBH262169:TBH262170 TLD262169:TLD262170 TUZ262169:TUZ262170 UEV262169:UEV262170 UOR262169:UOR262170 UYN262169:UYN262170 VIJ262169:VIJ262170 VSF262169:VSF262170 WCB262169:WCB262170 WLX262169:WLX262170 WVT262169:WVT262170 L327705:L327706 JH327705:JH327706 TD327705:TD327706 ACZ327705:ACZ327706 AMV327705:AMV327706 AWR327705:AWR327706 BGN327705:BGN327706 BQJ327705:BQJ327706 CAF327705:CAF327706 CKB327705:CKB327706 CTX327705:CTX327706 DDT327705:DDT327706 DNP327705:DNP327706 DXL327705:DXL327706 EHH327705:EHH327706 ERD327705:ERD327706 FAZ327705:FAZ327706 FKV327705:FKV327706 FUR327705:FUR327706 GEN327705:GEN327706 GOJ327705:GOJ327706 GYF327705:GYF327706 HIB327705:HIB327706 HRX327705:HRX327706 IBT327705:IBT327706 ILP327705:ILP327706 IVL327705:IVL327706 JFH327705:JFH327706 JPD327705:JPD327706 JYZ327705:JYZ327706 KIV327705:KIV327706 KSR327705:KSR327706 LCN327705:LCN327706 LMJ327705:LMJ327706 LWF327705:LWF327706 MGB327705:MGB327706 MPX327705:MPX327706 MZT327705:MZT327706 NJP327705:NJP327706 NTL327705:NTL327706 ODH327705:ODH327706 OND327705:OND327706 OWZ327705:OWZ327706 PGV327705:PGV327706 PQR327705:PQR327706 QAN327705:QAN327706 QKJ327705:QKJ327706 QUF327705:QUF327706 REB327705:REB327706 RNX327705:RNX327706 RXT327705:RXT327706 SHP327705:SHP327706 SRL327705:SRL327706 TBH327705:TBH327706 TLD327705:TLD327706 TUZ327705:TUZ327706 UEV327705:UEV327706 UOR327705:UOR327706 UYN327705:UYN327706 VIJ327705:VIJ327706 VSF327705:VSF327706 WCB327705:WCB327706 WLX327705:WLX327706 WVT327705:WVT327706 L393241:L393242 JH393241:JH393242 TD393241:TD393242 ACZ393241:ACZ393242 AMV393241:AMV393242 AWR393241:AWR393242 BGN393241:BGN393242 BQJ393241:BQJ393242 CAF393241:CAF393242 CKB393241:CKB393242 CTX393241:CTX393242 DDT393241:DDT393242 DNP393241:DNP393242 DXL393241:DXL393242 EHH393241:EHH393242 ERD393241:ERD393242 FAZ393241:FAZ393242 FKV393241:FKV393242 FUR393241:FUR393242 GEN393241:GEN393242 GOJ393241:GOJ393242 GYF393241:GYF393242 HIB393241:HIB393242 HRX393241:HRX393242 IBT393241:IBT393242 ILP393241:ILP393242 IVL393241:IVL393242 JFH393241:JFH393242 JPD393241:JPD393242 JYZ393241:JYZ393242 KIV393241:KIV393242 KSR393241:KSR393242 LCN393241:LCN393242 LMJ393241:LMJ393242 LWF393241:LWF393242 MGB393241:MGB393242 MPX393241:MPX393242 MZT393241:MZT393242 NJP393241:NJP393242 NTL393241:NTL393242 ODH393241:ODH393242 OND393241:OND393242 OWZ393241:OWZ393242 PGV393241:PGV393242 PQR393241:PQR393242 QAN393241:QAN393242 QKJ393241:QKJ393242 QUF393241:QUF393242 REB393241:REB393242 RNX393241:RNX393242 RXT393241:RXT393242 SHP393241:SHP393242 SRL393241:SRL393242 TBH393241:TBH393242 TLD393241:TLD393242 TUZ393241:TUZ393242 UEV393241:UEV393242 UOR393241:UOR393242 UYN393241:UYN393242 VIJ393241:VIJ393242 VSF393241:VSF393242 WCB393241:WCB393242 WLX393241:WLX393242 WVT393241:WVT393242 L458777:L458778 JH458777:JH458778 TD458777:TD458778 ACZ458777:ACZ458778 AMV458777:AMV458778 AWR458777:AWR458778 BGN458777:BGN458778 BQJ458777:BQJ458778 CAF458777:CAF458778 CKB458777:CKB458778 CTX458777:CTX458778 DDT458777:DDT458778 DNP458777:DNP458778 DXL458777:DXL458778 EHH458777:EHH458778 ERD458777:ERD458778 FAZ458777:FAZ458778 FKV458777:FKV458778 FUR458777:FUR458778 GEN458777:GEN458778 GOJ458777:GOJ458778 GYF458777:GYF458778 HIB458777:HIB458778 HRX458777:HRX458778 IBT458777:IBT458778 ILP458777:ILP458778 IVL458777:IVL458778 JFH458777:JFH458778 JPD458777:JPD458778 JYZ458777:JYZ458778 KIV458777:KIV458778 KSR458777:KSR458778 LCN458777:LCN458778 LMJ458777:LMJ458778 LWF458777:LWF458778 MGB458777:MGB458778 MPX458777:MPX458778 MZT458777:MZT458778 NJP458777:NJP458778 NTL458777:NTL458778 ODH458777:ODH458778 OND458777:OND458778 OWZ458777:OWZ458778 PGV458777:PGV458778 PQR458777:PQR458778 QAN458777:QAN458778 QKJ458777:QKJ458778 QUF458777:QUF458778 REB458777:REB458778 RNX458777:RNX458778 RXT458777:RXT458778 SHP458777:SHP458778 SRL458777:SRL458778 TBH458777:TBH458778 TLD458777:TLD458778 TUZ458777:TUZ458778 UEV458777:UEV458778 UOR458777:UOR458778 UYN458777:UYN458778 VIJ458777:VIJ458778 VSF458777:VSF458778 WCB458777:WCB458778 WLX458777:WLX458778 WVT458777:WVT458778 L524313:L524314 JH524313:JH524314 TD524313:TD524314 ACZ524313:ACZ524314 AMV524313:AMV524314 AWR524313:AWR524314 BGN524313:BGN524314 BQJ524313:BQJ524314 CAF524313:CAF524314 CKB524313:CKB524314 CTX524313:CTX524314 DDT524313:DDT524314 DNP524313:DNP524314 DXL524313:DXL524314 EHH524313:EHH524314 ERD524313:ERD524314 FAZ524313:FAZ524314 FKV524313:FKV524314 FUR524313:FUR524314 GEN524313:GEN524314 GOJ524313:GOJ524314 GYF524313:GYF524314 HIB524313:HIB524314 HRX524313:HRX524314 IBT524313:IBT524314 ILP524313:ILP524314 IVL524313:IVL524314 JFH524313:JFH524314 JPD524313:JPD524314 JYZ524313:JYZ524314 KIV524313:KIV524314 KSR524313:KSR524314 LCN524313:LCN524314 LMJ524313:LMJ524314 LWF524313:LWF524314 MGB524313:MGB524314 MPX524313:MPX524314 MZT524313:MZT524314 NJP524313:NJP524314 NTL524313:NTL524314 ODH524313:ODH524314 OND524313:OND524314 OWZ524313:OWZ524314 PGV524313:PGV524314 PQR524313:PQR524314 QAN524313:QAN524314 QKJ524313:QKJ524314 QUF524313:QUF524314 REB524313:REB524314 RNX524313:RNX524314 RXT524313:RXT524314 SHP524313:SHP524314 SRL524313:SRL524314 TBH524313:TBH524314 TLD524313:TLD524314 TUZ524313:TUZ524314 UEV524313:UEV524314 UOR524313:UOR524314 UYN524313:UYN524314 VIJ524313:VIJ524314 VSF524313:VSF524314 WCB524313:WCB524314 WLX524313:WLX524314 WVT524313:WVT524314 L589849:L589850 JH589849:JH589850 TD589849:TD589850 ACZ589849:ACZ589850 AMV589849:AMV589850 AWR589849:AWR589850 BGN589849:BGN589850 BQJ589849:BQJ589850 CAF589849:CAF589850 CKB589849:CKB589850 CTX589849:CTX589850 DDT589849:DDT589850 DNP589849:DNP589850 DXL589849:DXL589850 EHH589849:EHH589850 ERD589849:ERD589850 FAZ589849:FAZ589850 FKV589849:FKV589850 FUR589849:FUR589850 GEN589849:GEN589850 GOJ589849:GOJ589850 GYF589849:GYF589850 HIB589849:HIB589850 HRX589849:HRX589850 IBT589849:IBT589850 ILP589849:ILP589850 IVL589849:IVL589850 JFH589849:JFH589850 JPD589849:JPD589850 JYZ589849:JYZ589850 KIV589849:KIV589850 KSR589849:KSR589850 LCN589849:LCN589850 LMJ589849:LMJ589850 LWF589849:LWF589850 MGB589849:MGB589850 MPX589849:MPX589850 MZT589849:MZT589850 NJP589849:NJP589850 NTL589849:NTL589850 ODH589849:ODH589850 OND589849:OND589850 OWZ589849:OWZ589850 PGV589849:PGV589850 PQR589849:PQR589850 QAN589849:QAN589850 QKJ589849:QKJ589850 QUF589849:QUF589850 REB589849:REB589850 RNX589849:RNX589850 RXT589849:RXT589850 SHP589849:SHP589850 SRL589849:SRL589850 TBH589849:TBH589850 TLD589849:TLD589850 TUZ589849:TUZ589850 UEV589849:UEV589850 UOR589849:UOR589850 UYN589849:UYN589850 VIJ589849:VIJ589850 VSF589849:VSF589850 WCB589849:WCB589850 WLX589849:WLX589850 WVT589849:WVT589850 L655385:L655386 JH655385:JH655386 TD655385:TD655386 ACZ655385:ACZ655386 AMV655385:AMV655386 AWR655385:AWR655386 BGN655385:BGN655386 BQJ655385:BQJ655386 CAF655385:CAF655386 CKB655385:CKB655386 CTX655385:CTX655386 DDT655385:DDT655386 DNP655385:DNP655386 DXL655385:DXL655386 EHH655385:EHH655386 ERD655385:ERD655386 FAZ655385:FAZ655386 FKV655385:FKV655386 FUR655385:FUR655386 GEN655385:GEN655386 GOJ655385:GOJ655386 GYF655385:GYF655386 HIB655385:HIB655386 HRX655385:HRX655386 IBT655385:IBT655386 ILP655385:ILP655386 IVL655385:IVL655386 JFH655385:JFH655386 JPD655385:JPD655386 JYZ655385:JYZ655386 KIV655385:KIV655386 KSR655385:KSR655386 LCN655385:LCN655386 LMJ655385:LMJ655386 LWF655385:LWF655386 MGB655385:MGB655386 MPX655385:MPX655386 MZT655385:MZT655386 NJP655385:NJP655386 NTL655385:NTL655386 ODH655385:ODH655386 OND655385:OND655386 OWZ655385:OWZ655386 PGV655385:PGV655386 PQR655385:PQR655386 QAN655385:QAN655386 QKJ655385:QKJ655386 QUF655385:QUF655386 REB655385:REB655386 RNX655385:RNX655386 RXT655385:RXT655386 SHP655385:SHP655386 SRL655385:SRL655386 TBH655385:TBH655386 TLD655385:TLD655386 TUZ655385:TUZ655386 UEV655385:UEV655386 UOR655385:UOR655386 UYN655385:UYN655386 VIJ655385:VIJ655386 VSF655385:VSF655386 WCB655385:WCB655386 WLX655385:WLX655386 WVT655385:WVT655386 L720921:L720922 JH720921:JH720922 TD720921:TD720922 ACZ720921:ACZ720922 AMV720921:AMV720922 AWR720921:AWR720922 BGN720921:BGN720922 BQJ720921:BQJ720922 CAF720921:CAF720922 CKB720921:CKB720922 CTX720921:CTX720922 DDT720921:DDT720922 DNP720921:DNP720922 DXL720921:DXL720922 EHH720921:EHH720922 ERD720921:ERD720922 FAZ720921:FAZ720922 FKV720921:FKV720922 FUR720921:FUR720922 GEN720921:GEN720922 GOJ720921:GOJ720922 GYF720921:GYF720922 HIB720921:HIB720922 HRX720921:HRX720922 IBT720921:IBT720922 ILP720921:ILP720922 IVL720921:IVL720922 JFH720921:JFH720922 JPD720921:JPD720922 JYZ720921:JYZ720922 KIV720921:KIV720922 KSR720921:KSR720922 LCN720921:LCN720922 LMJ720921:LMJ720922 LWF720921:LWF720922 MGB720921:MGB720922 MPX720921:MPX720922 MZT720921:MZT720922 NJP720921:NJP720922 NTL720921:NTL720922 ODH720921:ODH720922 OND720921:OND720922 OWZ720921:OWZ720922 PGV720921:PGV720922 PQR720921:PQR720922 QAN720921:QAN720922 QKJ720921:QKJ720922 QUF720921:QUF720922 REB720921:REB720922 RNX720921:RNX720922 RXT720921:RXT720922 SHP720921:SHP720922 SRL720921:SRL720922 TBH720921:TBH720922 TLD720921:TLD720922 TUZ720921:TUZ720922 UEV720921:UEV720922 UOR720921:UOR720922 UYN720921:UYN720922 VIJ720921:VIJ720922 VSF720921:VSF720922 WCB720921:WCB720922 WLX720921:WLX720922 WVT720921:WVT720922 L786457:L786458 JH786457:JH786458 TD786457:TD786458 ACZ786457:ACZ786458 AMV786457:AMV786458 AWR786457:AWR786458 BGN786457:BGN786458 BQJ786457:BQJ786458 CAF786457:CAF786458 CKB786457:CKB786458 CTX786457:CTX786458 DDT786457:DDT786458 DNP786457:DNP786458 DXL786457:DXL786458 EHH786457:EHH786458 ERD786457:ERD786458 FAZ786457:FAZ786458 FKV786457:FKV786458 FUR786457:FUR786458 GEN786457:GEN786458 GOJ786457:GOJ786458 GYF786457:GYF786458 HIB786457:HIB786458 HRX786457:HRX786458 IBT786457:IBT786458 ILP786457:ILP786458 IVL786457:IVL786458 JFH786457:JFH786458 JPD786457:JPD786458 JYZ786457:JYZ786458 KIV786457:KIV786458 KSR786457:KSR786458 LCN786457:LCN786458 LMJ786457:LMJ786458 LWF786457:LWF786458 MGB786457:MGB786458 MPX786457:MPX786458 MZT786457:MZT786458 NJP786457:NJP786458 NTL786457:NTL786458 ODH786457:ODH786458 OND786457:OND786458 OWZ786457:OWZ786458 PGV786457:PGV786458 PQR786457:PQR786458 QAN786457:QAN786458 QKJ786457:QKJ786458 QUF786457:QUF786458 REB786457:REB786458 RNX786457:RNX786458 RXT786457:RXT786458 SHP786457:SHP786458 SRL786457:SRL786458 TBH786457:TBH786458 TLD786457:TLD786458 TUZ786457:TUZ786458 UEV786457:UEV786458 UOR786457:UOR786458 UYN786457:UYN786458 VIJ786457:VIJ786458 VSF786457:VSF786458 WCB786457:WCB786458 WLX786457:WLX786458 WVT786457:WVT786458 L851993:L851994 JH851993:JH851994 TD851993:TD851994 ACZ851993:ACZ851994 AMV851993:AMV851994 AWR851993:AWR851994 BGN851993:BGN851994 BQJ851993:BQJ851994 CAF851993:CAF851994 CKB851993:CKB851994 CTX851993:CTX851994 DDT851993:DDT851994 DNP851993:DNP851994 DXL851993:DXL851994 EHH851993:EHH851994 ERD851993:ERD851994 FAZ851993:FAZ851994 FKV851993:FKV851994 FUR851993:FUR851994 GEN851993:GEN851994 GOJ851993:GOJ851994 GYF851993:GYF851994 HIB851993:HIB851994 HRX851993:HRX851994 IBT851993:IBT851994 ILP851993:ILP851994 IVL851993:IVL851994 JFH851993:JFH851994 JPD851993:JPD851994 JYZ851993:JYZ851994 KIV851993:KIV851994 KSR851993:KSR851994 LCN851993:LCN851994 LMJ851993:LMJ851994 LWF851993:LWF851994 MGB851993:MGB851994 MPX851993:MPX851994 MZT851993:MZT851994 NJP851993:NJP851994 NTL851993:NTL851994 ODH851993:ODH851994 OND851993:OND851994 OWZ851993:OWZ851994 PGV851993:PGV851994 PQR851993:PQR851994 QAN851993:QAN851994 QKJ851993:QKJ851994 QUF851993:QUF851994 REB851993:REB851994 RNX851993:RNX851994 RXT851993:RXT851994 SHP851993:SHP851994 SRL851993:SRL851994 TBH851993:TBH851994 TLD851993:TLD851994 TUZ851993:TUZ851994 UEV851993:UEV851994 UOR851993:UOR851994 UYN851993:UYN851994 VIJ851993:VIJ851994 VSF851993:VSF851994 WCB851993:WCB851994 WLX851993:WLX851994 WVT851993:WVT851994 L917529:L917530 JH917529:JH917530 TD917529:TD917530 ACZ917529:ACZ917530 AMV917529:AMV917530 AWR917529:AWR917530 BGN917529:BGN917530 BQJ917529:BQJ917530 CAF917529:CAF917530 CKB917529:CKB917530 CTX917529:CTX917530 DDT917529:DDT917530 DNP917529:DNP917530 DXL917529:DXL917530 EHH917529:EHH917530 ERD917529:ERD917530 FAZ917529:FAZ917530 FKV917529:FKV917530 FUR917529:FUR917530 GEN917529:GEN917530 GOJ917529:GOJ917530 GYF917529:GYF917530 HIB917529:HIB917530 HRX917529:HRX917530 IBT917529:IBT917530 ILP917529:ILP917530 IVL917529:IVL917530 JFH917529:JFH917530 JPD917529:JPD917530 JYZ917529:JYZ917530 KIV917529:KIV917530 KSR917529:KSR917530 LCN917529:LCN917530 LMJ917529:LMJ917530 LWF917529:LWF917530 MGB917529:MGB917530 MPX917529:MPX917530 MZT917529:MZT917530 NJP917529:NJP917530 NTL917529:NTL917530 ODH917529:ODH917530 OND917529:OND917530 OWZ917529:OWZ917530 PGV917529:PGV917530 PQR917529:PQR917530 QAN917529:QAN917530 QKJ917529:QKJ917530 QUF917529:QUF917530 REB917529:REB917530 RNX917529:RNX917530 RXT917529:RXT917530 SHP917529:SHP917530 SRL917529:SRL917530 TBH917529:TBH917530 TLD917529:TLD917530 TUZ917529:TUZ917530 UEV917529:UEV917530 UOR917529:UOR917530 UYN917529:UYN917530 VIJ917529:VIJ917530 VSF917529:VSF917530 WCB917529:WCB917530 WLX917529:WLX917530 WVT917529:WVT917530 L983065:L983066 JH983065:JH983066 TD983065:TD983066 ACZ983065:ACZ983066 AMV983065:AMV983066 AWR983065:AWR983066 BGN983065:BGN983066 BQJ983065:BQJ983066 CAF983065:CAF983066 CKB983065:CKB983066 CTX983065:CTX983066 DDT983065:DDT983066 DNP983065:DNP983066 DXL983065:DXL983066 EHH983065:EHH983066 ERD983065:ERD983066 FAZ983065:FAZ983066 FKV983065:FKV983066 FUR983065:FUR983066 GEN983065:GEN983066 GOJ983065:GOJ983066 GYF983065:GYF983066 HIB983065:HIB983066 HRX983065:HRX983066 IBT983065:IBT983066 ILP983065:ILP983066 IVL983065:IVL983066 JFH983065:JFH983066 JPD983065:JPD983066 JYZ983065:JYZ983066 KIV983065:KIV983066 KSR983065:KSR983066 LCN983065:LCN983066 LMJ983065:LMJ983066 LWF983065:LWF983066 MGB983065:MGB983066 MPX983065:MPX983066 MZT983065:MZT983066 NJP983065:NJP983066 NTL983065:NTL983066 ODH983065:ODH983066 OND983065:OND983066 OWZ983065:OWZ983066 PGV983065:PGV983066 PQR983065:PQR983066 QAN983065:QAN983066 QKJ983065:QKJ983066 QUF983065:QUF983066 REB983065:REB983066 RNX983065:RNX983066 RXT983065:RXT983066 SHP983065:SHP983066 SRL983065:SRL983066 TBH983065:TBH983066 TLD983065:TLD983066 TUZ983065:TUZ983066 UEV983065:UEV983066 UOR983065:UOR983066 UYN983065:UYN983066 VIJ983065:VIJ983066 VSF983065:VSF983066 WCB983065:WCB983066 WLX983065:WLX983066 WVT983065:WVT983066" xr:uid="{73A76EF2-3E91-41B5-8377-FEC075629242}">
      <formula1>0</formula1>
      <formula2>0.03</formula2>
    </dataValidation>
    <dataValidation type="whole" allowBlank="1" showInputMessage="1" showErrorMessage="1" error="U moet hier een geheel aantal jaren invullen. Minimum aantal jaren is 1 en maximum aantal jaren is de economische levensduur." sqref="E33" xr:uid="{5B54EEFA-57A0-4B1B-9D04-1BF99191BB45}">
      <formula1>1</formula1>
      <formula2>B11</formula2>
    </dataValidation>
  </dataValidations>
  <pageMargins left="0.7" right="0.7" top="0.75" bottom="0.75" header="0.3" footer="0.3"/>
  <pageSetup paperSize="9" orientation="portrait" r:id="rId1"/>
  <ignoredErrors>
    <ignoredError sqref="B15:B20 N15:N20 E44" unlockedFormula="1"/>
    <ignoredError sqref="O101:O111 P102:W102 X102:Z102 AA102:AC102 AA118:AC118 N124:S124 O129:S129 O113:O119 P100:S100 X104:Z104 AA104:AC104 P104:W104 P103:S103 P101:S101 X106:Z107 P106:W107 P105:S105 P109:S109 P108:S108 X111:Z111 AA111:AC111 P111:W111 P110:S110 X113:Z115 P113:W115 P112:S112 X118:Z118 P118:W118 P116:S116 P117:S117 P119:S119"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List Box 1">
              <controlPr defaultSize="0" autoLine="0" autoPict="0" altText="kies uit de lijst 1 van de 2 mogelijkheden: Annuïteit; Lineair">
                <anchor moveWithCells="1" sizeWithCells="1">
                  <from>
                    <xdr:col>7</xdr:col>
                    <xdr:colOff>19050</xdr:colOff>
                    <xdr:row>31</xdr:row>
                    <xdr:rowOff>152400</xdr:rowOff>
                  </from>
                  <to>
                    <xdr:col>10</xdr:col>
                    <xdr:colOff>9525</xdr:colOff>
                    <xdr:row>33</xdr:row>
                    <xdr:rowOff>123825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7880C-9D8F-421B-B3F3-A2380F56FA79}">
  <dimension ref="A1:P143"/>
  <sheetViews>
    <sheetView zoomScaleNormal="100" workbookViewId="0">
      <selection activeCell="A13" sqref="A13"/>
    </sheetView>
  </sheetViews>
  <sheetFormatPr defaultColWidth="8.7109375" defaultRowHeight="15" x14ac:dyDescent="0.25"/>
  <cols>
    <col min="1" max="1" width="144" style="3" customWidth="1"/>
    <col min="2" max="2" width="86.7109375" style="15" customWidth="1"/>
    <col min="3" max="3" width="3.42578125" style="15" customWidth="1"/>
    <col min="4" max="4" width="14" style="3" bestFit="1" customWidth="1"/>
    <col min="5" max="5" width="90.7109375" style="3" customWidth="1"/>
    <col min="6" max="11" width="12.7109375" style="3" customWidth="1"/>
    <col min="12" max="12" width="13.7109375" style="3" customWidth="1"/>
    <col min="13" max="13" width="12.42578125" style="3" customWidth="1"/>
    <col min="14" max="256" width="8.7109375" style="3"/>
    <col min="257" max="257" width="132.28515625" style="3" customWidth="1"/>
    <col min="258" max="258" width="86.7109375" style="3" customWidth="1"/>
    <col min="259" max="259" width="3.42578125" style="3" customWidth="1"/>
    <col min="260" max="260" width="14" style="3" bestFit="1" customWidth="1"/>
    <col min="261" max="261" width="90.7109375" style="3" customWidth="1"/>
    <col min="262" max="267" width="12.7109375" style="3" customWidth="1"/>
    <col min="268" max="268" width="13.7109375" style="3" customWidth="1"/>
    <col min="269" max="269" width="12.42578125" style="3" customWidth="1"/>
    <col min="270" max="512" width="8.7109375" style="3"/>
    <col min="513" max="513" width="132.28515625" style="3" customWidth="1"/>
    <col min="514" max="514" width="86.7109375" style="3" customWidth="1"/>
    <col min="515" max="515" width="3.42578125" style="3" customWidth="1"/>
    <col min="516" max="516" width="14" style="3" bestFit="1" customWidth="1"/>
    <col min="517" max="517" width="90.7109375" style="3" customWidth="1"/>
    <col min="518" max="523" width="12.7109375" style="3" customWidth="1"/>
    <col min="524" max="524" width="13.7109375" style="3" customWidth="1"/>
    <col min="525" max="525" width="12.42578125" style="3" customWidth="1"/>
    <col min="526" max="768" width="8.7109375" style="3"/>
    <col min="769" max="769" width="132.28515625" style="3" customWidth="1"/>
    <col min="770" max="770" width="86.7109375" style="3" customWidth="1"/>
    <col min="771" max="771" width="3.42578125" style="3" customWidth="1"/>
    <col min="772" max="772" width="14" style="3" bestFit="1" customWidth="1"/>
    <col min="773" max="773" width="90.7109375" style="3" customWidth="1"/>
    <col min="774" max="779" width="12.7109375" style="3" customWidth="1"/>
    <col min="780" max="780" width="13.7109375" style="3" customWidth="1"/>
    <col min="781" max="781" width="12.42578125" style="3" customWidth="1"/>
    <col min="782" max="1024" width="8.7109375" style="3"/>
    <col min="1025" max="1025" width="132.28515625" style="3" customWidth="1"/>
    <col min="1026" max="1026" width="86.7109375" style="3" customWidth="1"/>
    <col min="1027" max="1027" width="3.42578125" style="3" customWidth="1"/>
    <col min="1028" max="1028" width="14" style="3" bestFit="1" customWidth="1"/>
    <col min="1029" max="1029" width="90.7109375" style="3" customWidth="1"/>
    <col min="1030" max="1035" width="12.7109375" style="3" customWidth="1"/>
    <col min="1036" max="1036" width="13.7109375" style="3" customWidth="1"/>
    <col min="1037" max="1037" width="12.42578125" style="3" customWidth="1"/>
    <col min="1038" max="1280" width="8.7109375" style="3"/>
    <col min="1281" max="1281" width="132.28515625" style="3" customWidth="1"/>
    <col min="1282" max="1282" width="86.7109375" style="3" customWidth="1"/>
    <col min="1283" max="1283" width="3.42578125" style="3" customWidth="1"/>
    <col min="1284" max="1284" width="14" style="3" bestFit="1" customWidth="1"/>
    <col min="1285" max="1285" width="90.7109375" style="3" customWidth="1"/>
    <col min="1286" max="1291" width="12.7109375" style="3" customWidth="1"/>
    <col min="1292" max="1292" width="13.7109375" style="3" customWidth="1"/>
    <col min="1293" max="1293" width="12.42578125" style="3" customWidth="1"/>
    <col min="1294" max="1536" width="8.7109375" style="3"/>
    <col min="1537" max="1537" width="132.28515625" style="3" customWidth="1"/>
    <col min="1538" max="1538" width="86.7109375" style="3" customWidth="1"/>
    <col min="1539" max="1539" width="3.42578125" style="3" customWidth="1"/>
    <col min="1540" max="1540" width="14" style="3" bestFit="1" customWidth="1"/>
    <col min="1541" max="1541" width="90.7109375" style="3" customWidth="1"/>
    <col min="1542" max="1547" width="12.7109375" style="3" customWidth="1"/>
    <col min="1548" max="1548" width="13.7109375" style="3" customWidth="1"/>
    <col min="1549" max="1549" width="12.42578125" style="3" customWidth="1"/>
    <col min="1550" max="1792" width="8.7109375" style="3"/>
    <col min="1793" max="1793" width="132.28515625" style="3" customWidth="1"/>
    <col min="1794" max="1794" width="86.7109375" style="3" customWidth="1"/>
    <col min="1795" max="1795" width="3.42578125" style="3" customWidth="1"/>
    <col min="1796" max="1796" width="14" style="3" bestFit="1" customWidth="1"/>
    <col min="1797" max="1797" width="90.7109375" style="3" customWidth="1"/>
    <col min="1798" max="1803" width="12.7109375" style="3" customWidth="1"/>
    <col min="1804" max="1804" width="13.7109375" style="3" customWidth="1"/>
    <col min="1805" max="1805" width="12.42578125" style="3" customWidth="1"/>
    <col min="1806" max="2048" width="8.7109375" style="3"/>
    <col min="2049" max="2049" width="132.28515625" style="3" customWidth="1"/>
    <col min="2050" max="2050" width="86.7109375" style="3" customWidth="1"/>
    <col min="2051" max="2051" width="3.42578125" style="3" customWidth="1"/>
    <col min="2052" max="2052" width="14" style="3" bestFit="1" customWidth="1"/>
    <col min="2053" max="2053" width="90.7109375" style="3" customWidth="1"/>
    <col min="2054" max="2059" width="12.7109375" style="3" customWidth="1"/>
    <col min="2060" max="2060" width="13.7109375" style="3" customWidth="1"/>
    <col min="2061" max="2061" width="12.42578125" style="3" customWidth="1"/>
    <col min="2062" max="2304" width="8.7109375" style="3"/>
    <col min="2305" max="2305" width="132.28515625" style="3" customWidth="1"/>
    <col min="2306" max="2306" width="86.7109375" style="3" customWidth="1"/>
    <col min="2307" max="2307" width="3.42578125" style="3" customWidth="1"/>
    <col min="2308" max="2308" width="14" style="3" bestFit="1" customWidth="1"/>
    <col min="2309" max="2309" width="90.7109375" style="3" customWidth="1"/>
    <col min="2310" max="2315" width="12.7109375" style="3" customWidth="1"/>
    <col min="2316" max="2316" width="13.7109375" style="3" customWidth="1"/>
    <col min="2317" max="2317" width="12.42578125" style="3" customWidth="1"/>
    <col min="2318" max="2560" width="8.7109375" style="3"/>
    <col min="2561" max="2561" width="132.28515625" style="3" customWidth="1"/>
    <col min="2562" max="2562" width="86.7109375" style="3" customWidth="1"/>
    <col min="2563" max="2563" width="3.42578125" style="3" customWidth="1"/>
    <col min="2564" max="2564" width="14" style="3" bestFit="1" customWidth="1"/>
    <col min="2565" max="2565" width="90.7109375" style="3" customWidth="1"/>
    <col min="2566" max="2571" width="12.7109375" style="3" customWidth="1"/>
    <col min="2572" max="2572" width="13.7109375" style="3" customWidth="1"/>
    <col min="2573" max="2573" width="12.42578125" style="3" customWidth="1"/>
    <col min="2574" max="2816" width="8.7109375" style="3"/>
    <col min="2817" max="2817" width="132.28515625" style="3" customWidth="1"/>
    <col min="2818" max="2818" width="86.7109375" style="3" customWidth="1"/>
    <col min="2819" max="2819" width="3.42578125" style="3" customWidth="1"/>
    <col min="2820" max="2820" width="14" style="3" bestFit="1" customWidth="1"/>
    <col min="2821" max="2821" width="90.7109375" style="3" customWidth="1"/>
    <col min="2822" max="2827" width="12.7109375" style="3" customWidth="1"/>
    <col min="2828" max="2828" width="13.7109375" style="3" customWidth="1"/>
    <col min="2829" max="2829" width="12.42578125" style="3" customWidth="1"/>
    <col min="2830" max="3072" width="8.7109375" style="3"/>
    <col min="3073" max="3073" width="132.28515625" style="3" customWidth="1"/>
    <col min="3074" max="3074" width="86.7109375" style="3" customWidth="1"/>
    <col min="3075" max="3075" width="3.42578125" style="3" customWidth="1"/>
    <col min="3076" max="3076" width="14" style="3" bestFit="1" customWidth="1"/>
    <col min="3077" max="3077" width="90.7109375" style="3" customWidth="1"/>
    <col min="3078" max="3083" width="12.7109375" style="3" customWidth="1"/>
    <col min="3084" max="3084" width="13.7109375" style="3" customWidth="1"/>
    <col min="3085" max="3085" width="12.42578125" style="3" customWidth="1"/>
    <col min="3086" max="3328" width="8.7109375" style="3"/>
    <col min="3329" max="3329" width="132.28515625" style="3" customWidth="1"/>
    <col min="3330" max="3330" width="86.7109375" style="3" customWidth="1"/>
    <col min="3331" max="3331" width="3.42578125" style="3" customWidth="1"/>
    <col min="3332" max="3332" width="14" style="3" bestFit="1" customWidth="1"/>
    <col min="3333" max="3333" width="90.7109375" style="3" customWidth="1"/>
    <col min="3334" max="3339" width="12.7109375" style="3" customWidth="1"/>
    <col min="3340" max="3340" width="13.7109375" style="3" customWidth="1"/>
    <col min="3341" max="3341" width="12.42578125" style="3" customWidth="1"/>
    <col min="3342" max="3584" width="8.7109375" style="3"/>
    <col min="3585" max="3585" width="132.28515625" style="3" customWidth="1"/>
    <col min="3586" max="3586" width="86.7109375" style="3" customWidth="1"/>
    <col min="3587" max="3587" width="3.42578125" style="3" customWidth="1"/>
    <col min="3588" max="3588" width="14" style="3" bestFit="1" customWidth="1"/>
    <col min="3589" max="3589" width="90.7109375" style="3" customWidth="1"/>
    <col min="3590" max="3595" width="12.7109375" style="3" customWidth="1"/>
    <col min="3596" max="3596" width="13.7109375" style="3" customWidth="1"/>
    <col min="3597" max="3597" width="12.42578125" style="3" customWidth="1"/>
    <col min="3598" max="3840" width="8.7109375" style="3"/>
    <col min="3841" max="3841" width="132.28515625" style="3" customWidth="1"/>
    <col min="3842" max="3842" width="86.7109375" style="3" customWidth="1"/>
    <col min="3843" max="3843" width="3.42578125" style="3" customWidth="1"/>
    <col min="3844" max="3844" width="14" style="3" bestFit="1" customWidth="1"/>
    <col min="3845" max="3845" width="90.7109375" style="3" customWidth="1"/>
    <col min="3846" max="3851" width="12.7109375" style="3" customWidth="1"/>
    <col min="3852" max="3852" width="13.7109375" style="3" customWidth="1"/>
    <col min="3853" max="3853" width="12.42578125" style="3" customWidth="1"/>
    <col min="3854" max="4096" width="8.7109375" style="3"/>
    <col min="4097" max="4097" width="132.28515625" style="3" customWidth="1"/>
    <col min="4098" max="4098" width="86.7109375" style="3" customWidth="1"/>
    <col min="4099" max="4099" width="3.42578125" style="3" customWidth="1"/>
    <col min="4100" max="4100" width="14" style="3" bestFit="1" customWidth="1"/>
    <col min="4101" max="4101" width="90.7109375" style="3" customWidth="1"/>
    <col min="4102" max="4107" width="12.7109375" style="3" customWidth="1"/>
    <col min="4108" max="4108" width="13.7109375" style="3" customWidth="1"/>
    <col min="4109" max="4109" width="12.42578125" style="3" customWidth="1"/>
    <col min="4110" max="4352" width="8.7109375" style="3"/>
    <col min="4353" max="4353" width="132.28515625" style="3" customWidth="1"/>
    <col min="4354" max="4354" width="86.7109375" style="3" customWidth="1"/>
    <col min="4355" max="4355" width="3.42578125" style="3" customWidth="1"/>
    <col min="4356" max="4356" width="14" style="3" bestFit="1" customWidth="1"/>
    <col min="4357" max="4357" width="90.7109375" style="3" customWidth="1"/>
    <col min="4358" max="4363" width="12.7109375" style="3" customWidth="1"/>
    <col min="4364" max="4364" width="13.7109375" style="3" customWidth="1"/>
    <col min="4365" max="4365" width="12.42578125" style="3" customWidth="1"/>
    <col min="4366" max="4608" width="8.7109375" style="3"/>
    <col min="4609" max="4609" width="132.28515625" style="3" customWidth="1"/>
    <col min="4610" max="4610" width="86.7109375" style="3" customWidth="1"/>
    <col min="4611" max="4611" width="3.42578125" style="3" customWidth="1"/>
    <col min="4612" max="4612" width="14" style="3" bestFit="1" customWidth="1"/>
    <col min="4613" max="4613" width="90.7109375" style="3" customWidth="1"/>
    <col min="4614" max="4619" width="12.7109375" style="3" customWidth="1"/>
    <col min="4620" max="4620" width="13.7109375" style="3" customWidth="1"/>
    <col min="4621" max="4621" width="12.42578125" style="3" customWidth="1"/>
    <col min="4622" max="4864" width="8.7109375" style="3"/>
    <col min="4865" max="4865" width="132.28515625" style="3" customWidth="1"/>
    <col min="4866" max="4866" width="86.7109375" style="3" customWidth="1"/>
    <col min="4867" max="4867" width="3.42578125" style="3" customWidth="1"/>
    <col min="4868" max="4868" width="14" style="3" bestFit="1" customWidth="1"/>
    <col min="4869" max="4869" width="90.7109375" style="3" customWidth="1"/>
    <col min="4870" max="4875" width="12.7109375" style="3" customWidth="1"/>
    <col min="4876" max="4876" width="13.7109375" style="3" customWidth="1"/>
    <col min="4877" max="4877" width="12.42578125" style="3" customWidth="1"/>
    <col min="4878" max="5120" width="8.7109375" style="3"/>
    <col min="5121" max="5121" width="132.28515625" style="3" customWidth="1"/>
    <col min="5122" max="5122" width="86.7109375" style="3" customWidth="1"/>
    <col min="5123" max="5123" width="3.42578125" style="3" customWidth="1"/>
    <col min="5124" max="5124" width="14" style="3" bestFit="1" customWidth="1"/>
    <col min="5125" max="5125" width="90.7109375" style="3" customWidth="1"/>
    <col min="5126" max="5131" width="12.7109375" style="3" customWidth="1"/>
    <col min="5132" max="5132" width="13.7109375" style="3" customWidth="1"/>
    <col min="5133" max="5133" width="12.42578125" style="3" customWidth="1"/>
    <col min="5134" max="5376" width="8.7109375" style="3"/>
    <col min="5377" max="5377" width="132.28515625" style="3" customWidth="1"/>
    <col min="5378" max="5378" width="86.7109375" style="3" customWidth="1"/>
    <col min="5379" max="5379" width="3.42578125" style="3" customWidth="1"/>
    <col min="5380" max="5380" width="14" style="3" bestFit="1" customWidth="1"/>
    <col min="5381" max="5381" width="90.7109375" style="3" customWidth="1"/>
    <col min="5382" max="5387" width="12.7109375" style="3" customWidth="1"/>
    <col min="5388" max="5388" width="13.7109375" style="3" customWidth="1"/>
    <col min="5389" max="5389" width="12.42578125" style="3" customWidth="1"/>
    <col min="5390" max="5632" width="8.7109375" style="3"/>
    <col min="5633" max="5633" width="132.28515625" style="3" customWidth="1"/>
    <col min="5634" max="5634" width="86.7109375" style="3" customWidth="1"/>
    <col min="5635" max="5635" width="3.42578125" style="3" customWidth="1"/>
    <col min="5636" max="5636" width="14" style="3" bestFit="1" customWidth="1"/>
    <col min="5637" max="5637" width="90.7109375" style="3" customWidth="1"/>
    <col min="5638" max="5643" width="12.7109375" style="3" customWidth="1"/>
    <col min="5644" max="5644" width="13.7109375" style="3" customWidth="1"/>
    <col min="5645" max="5645" width="12.42578125" style="3" customWidth="1"/>
    <col min="5646" max="5888" width="8.7109375" style="3"/>
    <col min="5889" max="5889" width="132.28515625" style="3" customWidth="1"/>
    <col min="5890" max="5890" width="86.7109375" style="3" customWidth="1"/>
    <col min="5891" max="5891" width="3.42578125" style="3" customWidth="1"/>
    <col min="5892" max="5892" width="14" style="3" bestFit="1" customWidth="1"/>
    <col min="5893" max="5893" width="90.7109375" style="3" customWidth="1"/>
    <col min="5894" max="5899" width="12.7109375" style="3" customWidth="1"/>
    <col min="5900" max="5900" width="13.7109375" style="3" customWidth="1"/>
    <col min="5901" max="5901" width="12.42578125" style="3" customWidth="1"/>
    <col min="5902" max="6144" width="8.7109375" style="3"/>
    <col min="6145" max="6145" width="132.28515625" style="3" customWidth="1"/>
    <col min="6146" max="6146" width="86.7109375" style="3" customWidth="1"/>
    <col min="6147" max="6147" width="3.42578125" style="3" customWidth="1"/>
    <col min="6148" max="6148" width="14" style="3" bestFit="1" customWidth="1"/>
    <col min="6149" max="6149" width="90.7109375" style="3" customWidth="1"/>
    <col min="6150" max="6155" width="12.7109375" style="3" customWidth="1"/>
    <col min="6156" max="6156" width="13.7109375" style="3" customWidth="1"/>
    <col min="6157" max="6157" width="12.42578125" style="3" customWidth="1"/>
    <col min="6158" max="6400" width="8.7109375" style="3"/>
    <col min="6401" max="6401" width="132.28515625" style="3" customWidth="1"/>
    <col min="6402" max="6402" width="86.7109375" style="3" customWidth="1"/>
    <col min="6403" max="6403" width="3.42578125" style="3" customWidth="1"/>
    <col min="6404" max="6404" width="14" style="3" bestFit="1" customWidth="1"/>
    <col min="6405" max="6405" width="90.7109375" style="3" customWidth="1"/>
    <col min="6406" max="6411" width="12.7109375" style="3" customWidth="1"/>
    <col min="6412" max="6412" width="13.7109375" style="3" customWidth="1"/>
    <col min="6413" max="6413" width="12.42578125" style="3" customWidth="1"/>
    <col min="6414" max="6656" width="8.7109375" style="3"/>
    <col min="6657" max="6657" width="132.28515625" style="3" customWidth="1"/>
    <col min="6658" max="6658" width="86.7109375" style="3" customWidth="1"/>
    <col min="6659" max="6659" width="3.42578125" style="3" customWidth="1"/>
    <col min="6660" max="6660" width="14" style="3" bestFit="1" customWidth="1"/>
    <col min="6661" max="6661" width="90.7109375" style="3" customWidth="1"/>
    <col min="6662" max="6667" width="12.7109375" style="3" customWidth="1"/>
    <col min="6668" max="6668" width="13.7109375" style="3" customWidth="1"/>
    <col min="6669" max="6669" width="12.42578125" style="3" customWidth="1"/>
    <col min="6670" max="6912" width="8.7109375" style="3"/>
    <col min="6913" max="6913" width="132.28515625" style="3" customWidth="1"/>
    <col min="6914" max="6914" width="86.7109375" style="3" customWidth="1"/>
    <col min="6915" max="6915" width="3.42578125" style="3" customWidth="1"/>
    <col min="6916" max="6916" width="14" style="3" bestFit="1" customWidth="1"/>
    <col min="6917" max="6917" width="90.7109375" style="3" customWidth="1"/>
    <col min="6918" max="6923" width="12.7109375" style="3" customWidth="1"/>
    <col min="6924" max="6924" width="13.7109375" style="3" customWidth="1"/>
    <col min="6925" max="6925" width="12.42578125" style="3" customWidth="1"/>
    <col min="6926" max="7168" width="8.7109375" style="3"/>
    <col min="7169" max="7169" width="132.28515625" style="3" customWidth="1"/>
    <col min="7170" max="7170" width="86.7109375" style="3" customWidth="1"/>
    <col min="7171" max="7171" width="3.42578125" style="3" customWidth="1"/>
    <col min="7172" max="7172" width="14" style="3" bestFit="1" customWidth="1"/>
    <col min="7173" max="7173" width="90.7109375" style="3" customWidth="1"/>
    <col min="7174" max="7179" width="12.7109375" style="3" customWidth="1"/>
    <col min="7180" max="7180" width="13.7109375" style="3" customWidth="1"/>
    <col min="7181" max="7181" width="12.42578125" style="3" customWidth="1"/>
    <col min="7182" max="7424" width="8.7109375" style="3"/>
    <col min="7425" max="7425" width="132.28515625" style="3" customWidth="1"/>
    <col min="7426" max="7426" width="86.7109375" style="3" customWidth="1"/>
    <col min="7427" max="7427" width="3.42578125" style="3" customWidth="1"/>
    <col min="7428" max="7428" width="14" style="3" bestFit="1" customWidth="1"/>
    <col min="7429" max="7429" width="90.7109375" style="3" customWidth="1"/>
    <col min="7430" max="7435" width="12.7109375" style="3" customWidth="1"/>
    <col min="7436" max="7436" width="13.7109375" style="3" customWidth="1"/>
    <col min="7437" max="7437" width="12.42578125" style="3" customWidth="1"/>
    <col min="7438" max="7680" width="8.7109375" style="3"/>
    <col min="7681" max="7681" width="132.28515625" style="3" customWidth="1"/>
    <col min="7682" max="7682" width="86.7109375" style="3" customWidth="1"/>
    <col min="7683" max="7683" width="3.42578125" style="3" customWidth="1"/>
    <col min="7684" max="7684" width="14" style="3" bestFit="1" customWidth="1"/>
    <col min="7685" max="7685" width="90.7109375" style="3" customWidth="1"/>
    <col min="7686" max="7691" width="12.7109375" style="3" customWidth="1"/>
    <col min="7692" max="7692" width="13.7109375" style="3" customWidth="1"/>
    <col min="7693" max="7693" width="12.42578125" style="3" customWidth="1"/>
    <col min="7694" max="7936" width="8.7109375" style="3"/>
    <col min="7937" max="7937" width="132.28515625" style="3" customWidth="1"/>
    <col min="7938" max="7938" width="86.7109375" style="3" customWidth="1"/>
    <col min="7939" max="7939" width="3.42578125" style="3" customWidth="1"/>
    <col min="7940" max="7940" width="14" style="3" bestFit="1" customWidth="1"/>
    <col min="7941" max="7941" width="90.7109375" style="3" customWidth="1"/>
    <col min="7942" max="7947" width="12.7109375" style="3" customWidth="1"/>
    <col min="7948" max="7948" width="13.7109375" style="3" customWidth="1"/>
    <col min="7949" max="7949" width="12.42578125" style="3" customWidth="1"/>
    <col min="7950" max="8192" width="8.7109375" style="3"/>
    <col min="8193" max="8193" width="132.28515625" style="3" customWidth="1"/>
    <col min="8194" max="8194" width="86.7109375" style="3" customWidth="1"/>
    <col min="8195" max="8195" width="3.42578125" style="3" customWidth="1"/>
    <col min="8196" max="8196" width="14" style="3" bestFit="1" customWidth="1"/>
    <col min="8197" max="8197" width="90.7109375" style="3" customWidth="1"/>
    <col min="8198" max="8203" width="12.7109375" style="3" customWidth="1"/>
    <col min="8204" max="8204" width="13.7109375" style="3" customWidth="1"/>
    <col min="8205" max="8205" width="12.42578125" style="3" customWidth="1"/>
    <col min="8206" max="8448" width="8.7109375" style="3"/>
    <col min="8449" max="8449" width="132.28515625" style="3" customWidth="1"/>
    <col min="8450" max="8450" width="86.7109375" style="3" customWidth="1"/>
    <col min="8451" max="8451" width="3.42578125" style="3" customWidth="1"/>
    <col min="8452" max="8452" width="14" style="3" bestFit="1" customWidth="1"/>
    <col min="8453" max="8453" width="90.7109375" style="3" customWidth="1"/>
    <col min="8454" max="8459" width="12.7109375" style="3" customWidth="1"/>
    <col min="8460" max="8460" width="13.7109375" style="3" customWidth="1"/>
    <col min="8461" max="8461" width="12.42578125" style="3" customWidth="1"/>
    <col min="8462" max="8704" width="8.7109375" style="3"/>
    <col min="8705" max="8705" width="132.28515625" style="3" customWidth="1"/>
    <col min="8706" max="8706" width="86.7109375" style="3" customWidth="1"/>
    <col min="8707" max="8707" width="3.42578125" style="3" customWidth="1"/>
    <col min="8708" max="8708" width="14" style="3" bestFit="1" customWidth="1"/>
    <col min="8709" max="8709" width="90.7109375" style="3" customWidth="1"/>
    <col min="8710" max="8715" width="12.7109375" style="3" customWidth="1"/>
    <col min="8716" max="8716" width="13.7109375" style="3" customWidth="1"/>
    <col min="8717" max="8717" width="12.42578125" style="3" customWidth="1"/>
    <col min="8718" max="8960" width="8.7109375" style="3"/>
    <col min="8961" max="8961" width="132.28515625" style="3" customWidth="1"/>
    <col min="8962" max="8962" width="86.7109375" style="3" customWidth="1"/>
    <col min="8963" max="8963" width="3.42578125" style="3" customWidth="1"/>
    <col min="8964" max="8964" width="14" style="3" bestFit="1" customWidth="1"/>
    <col min="8965" max="8965" width="90.7109375" style="3" customWidth="1"/>
    <col min="8966" max="8971" width="12.7109375" style="3" customWidth="1"/>
    <col min="8972" max="8972" width="13.7109375" style="3" customWidth="1"/>
    <col min="8973" max="8973" width="12.42578125" style="3" customWidth="1"/>
    <col min="8974" max="9216" width="8.7109375" style="3"/>
    <col min="9217" max="9217" width="132.28515625" style="3" customWidth="1"/>
    <col min="9218" max="9218" width="86.7109375" style="3" customWidth="1"/>
    <col min="9219" max="9219" width="3.42578125" style="3" customWidth="1"/>
    <col min="9220" max="9220" width="14" style="3" bestFit="1" customWidth="1"/>
    <col min="9221" max="9221" width="90.7109375" style="3" customWidth="1"/>
    <col min="9222" max="9227" width="12.7109375" style="3" customWidth="1"/>
    <col min="9228" max="9228" width="13.7109375" style="3" customWidth="1"/>
    <col min="9229" max="9229" width="12.42578125" style="3" customWidth="1"/>
    <col min="9230" max="9472" width="8.7109375" style="3"/>
    <col min="9473" max="9473" width="132.28515625" style="3" customWidth="1"/>
    <col min="9474" max="9474" width="86.7109375" style="3" customWidth="1"/>
    <col min="9475" max="9475" width="3.42578125" style="3" customWidth="1"/>
    <col min="9476" max="9476" width="14" style="3" bestFit="1" customWidth="1"/>
    <col min="9477" max="9477" width="90.7109375" style="3" customWidth="1"/>
    <col min="9478" max="9483" width="12.7109375" style="3" customWidth="1"/>
    <col min="9484" max="9484" width="13.7109375" style="3" customWidth="1"/>
    <col min="9485" max="9485" width="12.42578125" style="3" customWidth="1"/>
    <col min="9486" max="9728" width="8.7109375" style="3"/>
    <col min="9729" max="9729" width="132.28515625" style="3" customWidth="1"/>
    <col min="9730" max="9730" width="86.7109375" style="3" customWidth="1"/>
    <col min="9731" max="9731" width="3.42578125" style="3" customWidth="1"/>
    <col min="9732" max="9732" width="14" style="3" bestFit="1" customWidth="1"/>
    <col min="9733" max="9733" width="90.7109375" style="3" customWidth="1"/>
    <col min="9734" max="9739" width="12.7109375" style="3" customWidth="1"/>
    <col min="9740" max="9740" width="13.7109375" style="3" customWidth="1"/>
    <col min="9741" max="9741" width="12.42578125" style="3" customWidth="1"/>
    <col min="9742" max="9984" width="8.7109375" style="3"/>
    <col min="9985" max="9985" width="132.28515625" style="3" customWidth="1"/>
    <col min="9986" max="9986" width="86.7109375" style="3" customWidth="1"/>
    <col min="9987" max="9987" width="3.42578125" style="3" customWidth="1"/>
    <col min="9988" max="9988" width="14" style="3" bestFit="1" customWidth="1"/>
    <col min="9989" max="9989" width="90.7109375" style="3" customWidth="1"/>
    <col min="9990" max="9995" width="12.7109375" style="3" customWidth="1"/>
    <col min="9996" max="9996" width="13.7109375" style="3" customWidth="1"/>
    <col min="9997" max="9997" width="12.42578125" style="3" customWidth="1"/>
    <col min="9998" max="10240" width="8.7109375" style="3"/>
    <col min="10241" max="10241" width="132.28515625" style="3" customWidth="1"/>
    <col min="10242" max="10242" width="86.7109375" style="3" customWidth="1"/>
    <col min="10243" max="10243" width="3.42578125" style="3" customWidth="1"/>
    <col min="10244" max="10244" width="14" style="3" bestFit="1" customWidth="1"/>
    <col min="10245" max="10245" width="90.7109375" style="3" customWidth="1"/>
    <col min="10246" max="10251" width="12.7109375" style="3" customWidth="1"/>
    <col min="10252" max="10252" width="13.7109375" style="3" customWidth="1"/>
    <col min="10253" max="10253" width="12.42578125" style="3" customWidth="1"/>
    <col min="10254" max="10496" width="8.7109375" style="3"/>
    <col min="10497" max="10497" width="132.28515625" style="3" customWidth="1"/>
    <col min="10498" max="10498" width="86.7109375" style="3" customWidth="1"/>
    <col min="10499" max="10499" width="3.42578125" style="3" customWidth="1"/>
    <col min="10500" max="10500" width="14" style="3" bestFit="1" customWidth="1"/>
    <col min="10501" max="10501" width="90.7109375" style="3" customWidth="1"/>
    <col min="10502" max="10507" width="12.7109375" style="3" customWidth="1"/>
    <col min="10508" max="10508" width="13.7109375" style="3" customWidth="1"/>
    <col min="10509" max="10509" width="12.42578125" style="3" customWidth="1"/>
    <col min="10510" max="10752" width="8.7109375" style="3"/>
    <col min="10753" max="10753" width="132.28515625" style="3" customWidth="1"/>
    <col min="10754" max="10754" width="86.7109375" style="3" customWidth="1"/>
    <col min="10755" max="10755" width="3.42578125" style="3" customWidth="1"/>
    <col min="10756" max="10756" width="14" style="3" bestFit="1" customWidth="1"/>
    <col min="10757" max="10757" width="90.7109375" style="3" customWidth="1"/>
    <col min="10758" max="10763" width="12.7109375" style="3" customWidth="1"/>
    <col min="10764" max="10764" width="13.7109375" style="3" customWidth="1"/>
    <col min="10765" max="10765" width="12.42578125" style="3" customWidth="1"/>
    <col min="10766" max="11008" width="8.7109375" style="3"/>
    <col min="11009" max="11009" width="132.28515625" style="3" customWidth="1"/>
    <col min="11010" max="11010" width="86.7109375" style="3" customWidth="1"/>
    <col min="11011" max="11011" width="3.42578125" style="3" customWidth="1"/>
    <col min="11012" max="11012" width="14" style="3" bestFit="1" customWidth="1"/>
    <col min="11013" max="11013" width="90.7109375" style="3" customWidth="1"/>
    <col min="11014" max="11019" width="12.7109375" style="3" customWidth="1"/>
    <col min="11020" max="11020" width="13.7109375" style="3" customWidth="1"/>
    <col min="11021" max="11021" width="12.42578125" style="3" customWidth="1"/>
    <col min="11022" max="11264" width="8.7109375" style="3"/>
    <col min="11265" max="11265" width="132.28515625" style="3" customWidth="1"/>
    <col min="11266" max="11266" width="86.7109375" style="3" customWidth="1"/>
    <col min="11267" max="11267" width="3.42578125" style="3" customWidth="1"/>
    <col min="11268" max="11268" width="14" style="3" bestFit="1" customWidth="1"/>
    <col min="11269" max="11269" width="90.7109375" style="3" customWidth="1"/>
    <col min="11270" max="11275" width="12.7109375" style="3" customWidth="1"/>
    <col min="11276" max="11276" width="13.7109375" style="3" customWidth="1"/>
    <col min="11277" max="11277" width="12.42578125" style="3" customWidth="1"/>
    <col min="11278" max="11520" width="8.7109375" style="3"/>
    <col min="11521" max="11521" width="132.28515625" style="3" customWidth="1"/>
    <col min="11522" max="11522" width="86.7109375" style="3" customWidth="1"/>
    <col min="11523" max="11523" width="3.42578125" style="3" customWidth="1"/>
    <col min="11524" max="11524" width="14" style="3" bestFit="1" customWidth="1"/>
    <col min="11525" max="11525" width="90.7109375" style="3" customWidth="1"/>
    <col min="11526" max="11531" width="12.7109375" style="3" customWidth="1"/>
    <col min="11532" max="11532" width="13.7109375" style="3" customWidth="1"/>
    <col min="11533" max="11533" width="12.42578125" style="3" customWidth="1"/>
    <col min="11534" max="11776" width="8.7109375" style="3"/>
    <col min="11777" max="11777" width="132.28515625" style="3" customWidth="1"/>
    <col min="11778" max="11778" width="86.7109375" style="3" customWidth="1"/>
    <col min="11779" max="11779" width="3.42578125" style="3" customWidth="1"/>
    <col min="11780" max="11780" width="14" style="3" bestFit="1" customWidth="1"/>
    <col min="11781" max="11781" width="90.7109375" style="3" customWidth="1"/>
    <col min="11782" max="11787" width="12.7109375" style="3" customWidth="1"/>
    <col min="11788" max="11788" width="13.7109375" style="3" customWidth="1"/>
    <col min="11789" max="11789" width="12.42578125" style="3" customWidth="1"/>
    <col min="11790" max="12032" width="8.7109375" style="3"/>
    <col min="12033" max="12033" width="132.28515625" style="3" customWidth="1"/>
    <col min="12034" max="12034" width="86.7109375" style="3" customWidth="1"/>
    <col min="12035" max="12035" width="3.42578125" style="3" customWidth="1"/>
    <col min="12036" max="12036" width="14" style="3" bestFit="1" customWidth="1"/>
    <col min="12037" max="12037" width="90.7109375" style="3" customWidth="1"/>
    <col min="12038" max="12043" width="12.7109375" style="3" customWidth="1"/>
    <col min="12044" max="12044" width="13.7109375" style="3" customWidth="1"/>
    <col min="12045" max="12045" width="12.42578125" style="3" customWidth="1"/>
    <col min="12046" max="12288" width="8.7109375" style="3"/>
    <col min="12289" max="12289" width="132.28515625" style="3" customWidth="1"/>
    <col min="12290" max="12290" width="86.7109375" style="3" customWidth="1"/>
    <col min="12291" max="12291" width="3.42578125" style="3" customWidth="1"/>
    <col min="12292" max="12292" width="14" style="3" bestFit="1" customWidth="1"/>
    <col min="12293" max="12293" width="90.7109375" style="3" customWidth="1"/>
    <col min="12294" max="12299" width="12.7109375" style="3" customWidth="1"/>
    <col min="12300" max="12300" width="13.7109375" style="3" customWidth="1"/>
    <col min="12301" max="12301" width="12.42578125" style="3" customWidth="1"/>
    <col min="12302" max="12544" width="8.7109375" style="3"/>
    <col min="12545" max="12545" width="132.28515625" style="3" customWidth="1"/>
    <col min="12546" max="12546" width="86.7109375" style="3" customWidth="1"/>
    <col min="12547" max="12547" width="3.42578125" style="3" customWidth="1"/>
    <col min="12548" max="12548" width="14" style="3" bestFit="1" customWidth="1"/>
    <col min="12549" max="12549" width="90.7109375" style="3" customWidth="1"/>
    <col min="12550" max="12555" width="12.7109375" style="3" customWidth="1"/>
    <col min="12556" max="12556" width="13.7109375" style="3" customWidth="1"/>
    <col min="12557" max="12557" width="12.42578125" style="3" customWidth="1"/>
    <col min="12558" max="12800" width="8.7109375" style="3"/>
    <col min="12801" max="12801" width="132.28515625" style="3" customWidth="1"/>
    <col min="12802" max="12802" width="86.7109375" style="3" customWidth="1"/>
    <col min="12803" max="12803" width="3.42578125" style="3" customWidth="1"/>
    <col min="12804" max="12804" width="14" style="3" bestFit="1" customWidth="1"/>
    <col min="12805" max="12805" width="90.7109375" style="3" customWidth="1"/>
    <col min="12806" max="12811" width="12.7109375" style="3" customWidth="1"/>
    <col min="12812" max="12812" width="13.7109375" style="3" customWidth="1"/>
    <col min="12813" max="12813" width="12.42578125" style="3" customWidth="1"/>
    <col min="12814" max="13056" width="8.7109375" style="3"/>
    <col min="13057" max="13057" width="132.28515625" style="3" customWidth="1"/>
    <col min="13058" max="13058" width="86.7109375" style="3" customWidth="1"/>
    <col min="13059" max="13059" width="3.42578125" style="3" customWidth="1"/>
    <col min="13060" max="13060" width="14" style="3" bestFit="1" customWidth="1"/>
    <col min="13061" max="13061" width="90.7109375" style="3" customWidth="1"/>
    <col min="13062" max="13067" width="12.7109375" style="3" customWidth="1"/>
    <col min="13068" max="13068" width="13.7109375" style="3" customWidth="1"/>
    <col min="13069" max="13069" width="12.42578125" style="3" customWidth="1"/>
    <col min="13070" max="13312" width="8.7109375" style="3"/>
    <col min="13313" max="13313" width="132.28515625" style="3" customWidth="1"/>
    <col min="13314" max="13314" width="86.7109375" style="3" customWidth="1"/>
    <col min="13315" max="13315" width="3.42578125" style="3" customWidth="1"/>
    <col min="13316" max="13316" width="14" style="3" bestFit="1" customWidth="1"/>
    <col min="13317" max="13317" width="90.7109375" style="3" customWidth="1"/>
    <col min="13318" max="13323" width="12.7109375" style="3" customWidth="1"/>
    <col min="13324" max="13324" width="13.7109375" style="3" customWidth="1"/>
    <col min="13325" max="13325" width="12.42578125" style="3" customWidth="1"/>
    <col min="13326" max="13568" width="8.7109375" style="3"/>
    <col min="13569" max="13569" width="132.28515625" style="3" customWidth="1"/>
    <col min="13570" max="13570" width="86.7109375" style="3" customWidth="1"/>
    <col min="13571" max="13571" width="3.42578125" style="3" customWidth="1"/>
    <col min="13572" max="13572" width="14" style="3" bestFit="1" customWidth="1"/>
    <col min="13573" max="13573" width="90.7109375" style="3" customWidth="1"/>
    <col min="13574" max="13579" width="12.7109375" style="3" customWidth="1"/>
    <col min="13580" max="13580" width="13.7109375" style="3" customWidth="1"/>
    <col min="13581" max="13581" width="12.42578125" style="3" customWidth="1"/>
    <col min="13582" max="13824" width="8.7109375" style="3"/>
    <col min="13825" max="13825" width="132.28515625" style="3" customWidth="1"/>
    <col min="13826" max="13826" width="86.7109375" style="3" customWidth="1"/>
    <col min="13827" max="13827" width="3.42578125" style="3" customWidth="1"/>
    <col min="13828" max="13828" width="14" style="3" bestFit="1" customWidth="1"/>
    <col min="13829" max="13829" width="90.7109375" style="3" customWidth="1"/>
    <col min="13830" max="13835" width="12.7109375" style="3" customWidth="1"/>
    <col min="13836" max="13836" width="13.7109375" style="3" customWidth="1"/>
    <col min="13837" max="13837" width="12.42578125" style="3" customWidth="1"/>
    <col min="13838" max="14080" width="8.7109375" style="3"/>
    <col min="14081" max="14081" width="132.28515625" style="3" customWidth="1"/>
    <col min="14082" max="14082" width="86.7109375" style="3" customWidth="1"/>
    <col min="14083" max="14083" width="3.42578125" style="3" customWidth="1"/>
    <col min="14084" max="14084" width="14" style="3" bestFit="1" customWidth="1"/>
    <col min="14085" max="14085" width="90.7109375" style="3" customWidth="1"/>
    <col min="14086" max="14091" width="12.7109375" style="3" customWidth="1"/>
    <col min="14092" max="14092" width="13.7109375" style="3" customWidth="1"/>
    <col min="14093" max="14093" width="12.42578125" style="3" customWidth="1"/>
    <col min="14094" max="14336" width="8.7109375" style="3"/>
    <col min="14337" max="14337" width="132.28515625" style="3" customWidth="1"/>
    <col min="14338" max="14338" width="86.7109375" style="3" customWidth="1"/>
    <col min="14339" max="14339" width="3.42578125" style="3" customWidth="1"/>
    <col min="14340" max="14340" width="14" style="3" bestFit="1" customWidth="1"/>
    <col min="14341" max="14341" width="90.7109375" style="3" customWidth="1"/>
    <col min="14342" max="14347" width="12.7109375" style="3" customWidth="1"/>
    <col min="14348" max="14348" width="13.7109375" style="3" customWidth="1"/>
    <col min="14349" max="14349" width="12.42578125" style="3" customWidth="1"/>
    <col min="14350" max="14592" width="8.7109375" style="3"/>
    <col min="14593" max="14593" width="132.28515625" style="3" customWidth="1"/>
    <col min="14594" max="14594" width="86.7109375" style="3" customWidth="1"/>
    <col min="14595" max="14595" width="3.42578125" style="3" customWidth="1"/>
    <col min="14596" max="14596" width="14" style="3" bestFit="1" customWidth="1"/>
    <col min="14597" max="14597" width="90.7109375" style="3" customWidth="1"/>
    <col min="14598" max="14603" width="12.7109375" style="3" customWidth="1"/>
    <col min="14604" max="14604" width="13.7109375" style="3" customWidth="1"/>
    <col min="14605" max="14605" width="12.42578125" style="3" customWidth="1"/>
    <col min="14606" max="14848" width="8.7109375" style="3"/>
    <col min="14849" max="14849" width="132.28515625" style="3" customWidth="1"/>
    <col min="14850" max="14850" width="86.7109375" style="3" customWidth="1"/>
    <col min="14851" max="14851" width="3.42578125" style="3" customWidth="1"/>
    <col min="14852" max="14852" width="14" style="3" bestFit="1" customWidth="1"/>
    <col min="14853" max="14853" width="90.7109375" style="3" customWidth="1"/>
    <col min="14854" max="14859" width="12.7109375" style="3" customWidth="1"/>
    <col min="14860" max="14860" width="13.7109375" style="3" customWidth="1"/>
    <col min="14861" max="14861" width="12.42578125" style="3" customWidth="1"/>
    <col min="14862" max="15104" width="8.7109375" style="3"/>
    <col min="15105" max="15105" width="132.28515625" style="3" customWidth="1"/>
    <col min="15106" max="15106" width="86.7109375" style="3" customWidth="1"/>
    <col min="15107" max="15107" width="3.42578125" style="3" customWidth="1"/>
    <col min="15108" max="15108" width="14" style="3" bestFit="1" customWidth="1"/>
    <col min="15109" max="15109" width="90.7109375" style="3" customWidth="1"/>
    <col min="15110" max="15115" width="12.7109375" style="3" customWidth="1"/>
    <col min="15116" max="15116" width="13.7109375" style="3" customWidth="1"/>
    <col min="15117" max="15117" width="12.42578125" style="3" customWidth="1"/>
    <col min="15118" max="15360" width="8.7109375" style="3"/>
    <col min="15361" max="15361" width="132.28515625" style="3" customWidth="1"/>
    <col min="15362" max="15362" width="86.7109375" style="3" customWidth="1"/>
    <col min="15363" max="15363" width="3.42578125" style="3" customWidth="1"/>
    <col min="15364" max="15364" width="14" style="3" bestFit="1" customWidth="1"/>
    <col min="15365" max="15365" width="90.7109375" style="3" customWidth="1"/>
    <col min="15366" max="15371" width="12.7109375" style="3" customWidth="1"/>
    <col min="15372" max="15372" width="13.7109375" style="3" customWidth="1"/>
    <col min="15373" max="15373" width="12.42578125" style="3" customWidth="1"/>
    <col min="15374" max="15616" width="8.7109375" style="3"/>
    <col min="15617" max="15617" width="132.28515625" style="3" customWidth="1"/>
    <col min="15618" max="15618" width="86.7109375" style="3" customWidth="1"/>
    <col min="15619" max="15619" width="3.42578125" style="3" customWidth="1"/>
    <col min="15620" max="15620" width="14" style="3" bestFit="1" customWidth="1"/>
    <col min="15621" max="15621" width="90.7109375" style="3" customWidth="1"/>
    <col min="15622" max="15627" width="12.7109375" style="3" customWidth="1"/>
    <col min="15628" max="15628" width="13.7109375" style="3" customWidth="1"/>
    <col min="15629" max="15629" width="12.42578125" style="3" customWidth="1"/>
    <col min="15630" max="15872" width="8.7109375" style="3"/>
    <col min="15873" max="15873" width="132.28515625" style="3" customWidth="1"/>
    <col min="15874" max="15874" width="86.7109375" style="3" customWidth="1"/>
    <col min="15875" max="15875" width="3.42578125" style="3" customWidth="1"/>
    <col min="15876" max="15876" width="14" style="3" bestFit="1" customWidth="1"/>
    <col min="15877" max="15877" width="90.7109375" style="3" customWidth="1"/>
    <col min="15878" max="15883" width="12.7109375" style="3" customWidth="1"/>
    <col min="15884" max="15884" width="13.7109375" style="3" customWidth="1"/>
    <col min="15885" max="15885" width="12.42578125" style="3" customWidth="1"/>
    <col min="15886" max="16128" width="8.7109375" style="3"/>
    <col min="16129" max="16129" width="132.28515625" style="3" customWidth="1"/>
    <col min="16130" max="16130" width="86.7109375" style="3" customWidth="1"/>
    <col min="16131" max="16131" width="3.42578125" style="3" customWidth="1"/>
    <col min="16132" max="16132" width="14" style="3" bestFit="1" customWidth="1"/>
    <col min="16133" max="16133" width="90.7109375" style="3" customWidth="1"/>
    <col min="16134" max="16139" width="12.7109375" style="3" customWidth="1"/>
    <col min="16140" max="16140" width="13.7109375" style="3" customWidth="1"/>
    <col min="16141" max="16141" width="12.42578125" style="3" customWidth="1"/>
    <col min="16142" max="16384" width="8.7109375" style="3"/>
  </cols>
  <sheetData>
    <row r="1" spans="1:12" ht="45" x14ac:dyDescent="0.6">
      <c r="A1" s="11" t="s">
        <v>221</v>
      </c>
      <c r="B1" s="24"/>
      <c r="F1" s="12"/>
    </row>
    <row r="2" spans="1:12" ht="11.25" customHeight="1" x14ac:dyDescent="0.6">
      <c r="A2" s="11"/>
      <c r="F2" s="12"/>
    </row>
    <row r="3" spans="1:12" ht="20.100000000000001" customHeight="1" x14ac:dyDescent="0.3">
      <c r="A3" s="13" t="s">
        <v>87</v>
      </c>
      <c r="D3" s="13"/>
      <c r="F3" s="14"/>
    </row>
    <row r="4" spans="1:12" ht="28.5" customHeight="1" x14ac:dyDescent="0.3">
      <c r="A4" s="14"/>
      <c r="F4" s="14"/>
    </row>
    <row r="5" spans="1:12" x14ac:dyDescent="0.25">
      <c r="A5" s="6" t="str">
        <f>"Projectnaam:                    "&amp;Productie_en_afzet!B6</f>
        <v xml:space="preserve">Projectnaam:                    </v>
      </c>
      <c r="B5" s="6"/>
      <c r="C5" s="6"/>
    </row>
    <row r="6" spans="1:12" ht="21.75" customHeight="1" x14ac:dyDescent="0.25">
      <c r="A6" s="6" t="s">
        <v>271</v>
      </c>
      <c r="B6" s="6"/>
      <c r="C6" s="6"/>
    </row>
    <row r="7" spans="1:12" ht="13.5" customHeight="1" x14ac:dyDescent="0.25">
      <c r="A7" s="94" t="str">
        <f>Hulpblad_categorieën_parameters!C7</f>
        <v>Elektrolyser met aansluiting gekoppeld aan het elektriciteitsnet</v>
      </c>
      <c r="B7" s="6"/>
      <c r="C7" s="6"/>
    </row>
    <row r="8" spans="1:12" ht="26.25" customHeight="1" x14ac:dyDescent="0.25">
      <c r="A8" s="16"/>
      <c r="D8" s="15"/>
      <c r="E8" s="15"/>
      <c r="F8" s="15"/>
      <c r="G8" s="15"/>
      <c r="H8" s="15"/>
      <c r="I8" s="15"/>
      <c r="J8" s="15"/>
      <c r="K8" s="15"/>
      <c r="L8" s="15"/>
    </row>
    <row r="9" spans="1:12" ht="18" x14ac:dyDescent="0.25">
      <c r="A9" s="13" t="s">
        <v>88</v>
      </c>
    </row>
    <row r="10" spans="1:12" ht="18" x14ac:dyDescent="0.25">
      <c r="A10" s="13"/>
    </row>
    <row r="11" spans="1:12" x14ac:dyDescent="0.25">
      <c r="A11" s="15" t="s">
        <v>89</v>
      </c>
    </row>
    <row r="12" spans="1:12" ht="12.75" customHeight="1" x14ac:dyDescent="0.25">
      <c r="A12" s="351" t="str">
        <f>Financieringsplan!H40</f>
        <v/>
      </c>
      <c r="B12" s="3"/>
      <c r="C12" s="18"/>
    </row>
    <row r="13" spans="1:12" ht="12.75" customHeight="1" x14ac:dyDescent="0.25">
      <c r="A13" s="15"/>
      <c r="B13" s="35"/>
      <c r="C13" s="18"/>
    </row>
    <row r="14" spans="1:12" x14ac:dyDescent="0.25">
      <c r="A14" s="36" t="s">
        <v>90</v>
      </c>
      <c r="B14" s="3"/>
      <c r="C14" s="18"/>
    </row>
    <row r="15" spans="1:12" x14ac:dyDescent="0.25">
      <c r="A15" s="37" t="str">
        <f>Financieringsplan!H15</f>
        <v>Voeg een jaarrekening toe</v>
      </c>
      <c r="B15" s="18"/>
      <c r="C15" s="18"/>
    </row>
    <row r="16" spans="1:12" x14ac:dyDescent="0.25">
      <c r="A16" s="22"/>
      <c r="B16" s="18"/>
      <c r="C16" s="18"/>
    </row>
    <row r="17" spans="1:12" x14ac:dyDescent="0.25">
      <c r="A17" s="15" t="s">
        <v>91</v>
      </c>
      <c r="B17" s="3"/>
      <c r="C17" s="18"/>
    </row>
    <row r="18" spans="1:12" x14ac:dyDescent="0.25">
      <c r="A18" s="38" t="str">
        <f>Financieringsplan!H62</f>
        <v/>
      </c>
      <c r="B18" s="3"/>
      <c r="C18" s="18"/>
      <c r="D18" s="7"/>
      <c r="F18" s="17"/>
      <c r="G18" s="17"/>
      <c r="H18" s="17"/>
      <c r="I18" s="17"/>
      <c r="J18" s="17"/>
      <c r="K18" s="17"/>
      <c r="L18" s="17"/>
    </row>
    <row r="19" spans="1:12" x14ac:dyDescent="0.25">
      <c r="A19" s="39" t="str">
        <f>Financieringsplan!H63</f>
        <v/>
      </c>
      <c r="B19" s="3"/>
      <c r="C19" s="18"/>
      <c r="D19" s="23"/>
      <c r="F19" s="17"/>
      <c r="G19" s="17"/>
      <c r="H19" s="17"/>
      <c r="I19" s="17"/>
      <c r="J19" s="17"/>
      <c r="K19" s="17"/>
      <c r="L19" s="17"/>
    </row>
    <row r="20" spans="1:12" x14ac:dyDescent="0.25">
      <c r="A20" s="39" t="str">
        <f>Financieringsplan!H64</f>
        <v/>
      </c>
      <c r="B20" s="3"/>
      <c r="C20" s="18"/>
      <c r="D20" s="23"/>
      <c r="F20" s="17"/>
      <c r="G20" s="17"/>
      <c r="H20" s="17"/>
      <c r="I20" s="17"/>
      <c r="J20" s="17"/>
      <c r="K20" s="17"/>
      <c r="L20" s="17"/>
    </row>
    <row r="21" spans="1:12" x14ac:dyDescent="0.25">
      <c r="A21" s="39" t="str">
        <f>Financieringsplan!H65</f>
        <v/>
      </c>
      <c r="B21" s="3"/>
      <c r="C21" s="18"/>
      <c r="D21" s="23"/>
      <c r="F21" s="17"/>
      <c r="G21" s="17"/>
      <c r="H21" s="17"/>
      <c r="I21" s="17"/>
      <c r="J21" s="17"/>
      <c r="K21" s="17"/>
      <c r="L21" s="17"/>
    </row>
    <row r="22" spans="1:12" x14ac:dyDescent="0.25">
      <c r="A22" s="39" t="str">
        <f>Financieringsplan!H66</f>
        <v/>
      </c>
      <c r="B22" s="3"/>
      <c r="C22" s="18"/>
      <c r="D22" s="23"/>
      <c r="F22" s="17"/>
      <c r="G22" s="17"/>
      <c r="H22" s="17"/>
      <c r="I22" s="17"/>
      <c r="J22" s="17"/>
      <c r="K22" s="17"/>
      <c r="L22" s="17"/>
    </row>
    <row r="23" spans="1:12" x14ac:dyDescent="0.25">
      <c r="A23" s="39" t="str">
        <f>Financieringsplan!H67</f>
        <v/>
      </c>
      <c r="B23" s="3"/>
      <c r="C23" s="18"/>
      <c r="D23" s="7"/>
      <c r="E23" s="17"/>
      <c r="F23" s="17"/>
      <c r="G23" s="17"/>
      <c r="H23" s="17"/>
      <c r="I23" s="17"/>
      <c r="J23" s="17"/>
      <c r="K23" s="17"/>
      <c r="L23" s="17"/>
    </row>
    <row r="24" spans="1:12" x14ac:dyDescent="0.25">
      <c r="A24" s="39" t="str">
        <f>Financieringsplan!H68</f>
        <v/>
      </c>
      <c r="B24" s="3"/>
      <c r="C24" s="18"/>
      <c r="D24" s="7"/>
      <c r="E24" s="17"/>
      <c r="F24" s="17"/>
      <c r="G24" s="17"/>
      <c r="H24" s="17"/>
      <c r="I24" s="17"/>
      <c r="J24" s="17"/>
      <c r="K24" s="17"/>
      <c r="L24" s="17"/>
    </row>
    <row r="25" spans="1:12" x14ac:dyDescent="0.25">
      <c r="A25" s="39" t="str">
        <f>Financieringsplan!H69</f>
        <v/>
      </c>
      <c r="B25" s="3"/>
      <c r="C25" s="18"/>
      <c r="E25" s="17"/>
      <c r="F25" s="17"/>
      <c r="G25" s="17"/>
      <c r="H25" s="17"/>
      <c r="I25" s="17"/>
      <c r="J25" s="17"/>
      <c r="K25" s="17"/>
      <c r="L25" s="17"/>
    </row>
    <row r="26" spans="1:12" x14ac:dyDescent="0.25">
      <c r="A26" s="39" t="str">
        <f>Financieringsplan!H70</f>
        <v/>
      </c>
      <c r="B26" s="3"/>
      <c r="C26" s="18"/>
      <c r="D26" s="7"/>
      <c r="E26" s="17"/>
      <c r="F26" s="17"/>
      <c r="G26" s="17"/>
      <c r="H26" s="17"/>
      <c r="I26" s="17"/>
      <c r="J26" s="17"/>
      <c r="K26" s="17"/>
      <c r="L26" s="17"/>
    </row>
    <row r="27" spans="1:12" x14ac:dyDescent="0.25">
      <c r="A27" s="40" t="str">
        <f>Financieringsplan!H71</f>
        <v/>
      </c>
      <c r="B27" s="18"/>
      <c r="C27" s="18"/>
      <c r="D27" s="7"/>
      <c r="E27" s="17"/>
      <c r="F27" s="17"/>
      <c r="G27" s="17"/>
      <c r="H27" s="17"/>
      <c r="I27" s="17"/>
      <c r="J27" s="17"/>
      <c r="K27" s="17"/>
      <c r="L27" s="17"/>
    </row>
    <row r="28" spans="1:12" x14ac:dyDescent="0.25">
      <c r="A28" s="18"/>
      <c r="B28" s="18"/>
      <c r="C28" s="18"/>
      <c r="D28" s="7"/>
      <c r="E28" s="17"/>
      <c r="F28" s="17"/>
      <c r="G28" s="17"/>
      <c r="H28" s="17"/>
      <c r="I28" s="17"/>
      <c r="J28" s="17"/>
      <c r="K28" s="17"/>
      <c r="L28" s="17"/>
    </row>
    <row r="29" spans="1:12" x14ac:dyDescent="0.25">
      <c r="A29" s="15" t="s">
        <v>92</v>
      </c>
      <c r="B29" s="3"/>
      <c r="C29" s="18"/>
      <c r="D29" s="7"/>
      <c r="E29" s="17"/>
      <c r="F29" s="17"/>
      <c r="G29" s="17"/>
      <c r="H29" s="17"/>
      <c r="I29" s="17"/>
      <c r="J29" s="17"/>
      <c r="K29" s="17"/>
      <c r="L29" s="17"/>
    </row>
    <row r="30" spans="1:12" x14ac:dyDescent="0.25">
      <c r="A30" s="38" t="str">
        <f>Financieringsplan!H73</f>
        <v/>
      </c>
      <c r="B30" s="3"/>
      <c r="C30" s="18"/>
      <c r="D30" s="7"/>
      <c r="E30" s="17"/>
      <c r="F30" s="17"/>
      <c r="G30" s="17"/>
      <c r="H30" s="17"/>
      <c r="I30" s="17"/>
      <c r="J30" s="17"/>
      <c r="K30" s="17"/>
      <c r="L30" s="17"/>
    </row>
    <row r="31" spans="1:12" x14ac:dyDescent="0.25">
      <c r="A31" s="39" t="str">
        <f>Financieringsplan!H74</f>
        <v/>
      </c>
      <c r="B31" s="3"/>
      <c r="C31" s="18"/>
      <c r="D31" s="7"/>
      <c r="E31" s="17"/>
      <c r="F31" s="17"/>
      <c r="G31" s="17"/>
      <c r="H31" s="17"/>
      <c r="I31" s="17"/>
      <c r="J31" s="17"/>
      <c r="K31" s="17"/>
      <c r="L31" s="17"/>
    </row>
    <row r="32" spans="1:12" x14ac:dyDescent="0.25">
      <c r="A32" s="39" t="str">
        <f>Financieringsplan!H75</f>
        <v/>
      </c>
      <c r="B32" s="3"/>
      <c r="C32" s="18"/>
      <c r="D32" s="7"/>
      <c r="E32" s="17"/>
      <c r="F32" s="17"/>
      <c r="G32" s="17"/>
      <c r="H32" s="17"/>
      <c r="I32" s="17"/>
      <c r="J32" s="17"/>
      <c r="K32" s="17"/>
      <c r="L32" s="17"/>
    </row>
    <row r="33" spans="1:12" x14ac:dyDescent="0.25">
      <c r="A33" s="39" t="str">
        <f>Financieringsplan!H76</f>
        <v/>
      </c>
      <c r="B33" s="3"/>
      <c r="C33" s="18"/>
      <c r="D33" s="7"/>
      <c r="E33" s="17"/>
      <c r="F33" s="17"/>
      <c r="G33" s="17"/>
      <c r="H33" s="17"/>
      <c r="I33" s="17"/>
      <c r="J33" s="17"/>
      <c r="K33" s="17"/>
      <c r="L33" s="17"/>
    </row>
    <row r="34" spans="1:12" x14ac:dyDescent="0.25">
      <c r="A34" s="40" t="str">
        <f>Financieringsplan!H77</f>
        <v/>
      </c>
      <c r="B34" s="18"/>
      <c r="C34" s="18"/>
      <c r="D34" s="7"/>
      <c r="E34" s="17"/>
      <c r="F34" s="17"/>
      <c r="G34" s="17"/>
      <c r="H34" s="17"/>
      <c r="I34" s="17"/>
      <c r="J34" s="17"/>
      <c r="K34" s="17"/>
      <c r="L34" s="17"/>
    </row>
    <row r="35" spans="1:12" x14ac:dyDescent="0.25">
      <c r="A35" s="18"/>
      <c r="B35" s="18"/>
      <c r="C35" s="18"/>
      <c r="D35" s="7"/>
      <c r="E35" s="17"/>
      <c r="F35" s="17"/>
      <c r="G35" s="17"/>
      <c r="H35" s="17"/>
      <c r="I35" s="17"/>
      <c r="J35" s="17"/>
      <c r="K35" s="17"/>
      <c r="L35" s="17"/>
    </row>
    <row r="36" spans="1:12" x14ac:dyDescent="0.25">
      <c r="A36" s="15" t="s">
        <v>93</v>
      </c>
      <c r="B36" s="3"/>
      <c r="C36" s="18"/>
      <c r="D36" s="7"/>
      <c r="E36" s="17"/>
      <c r="F36" s="17"/>
      <c r="G36" s="17"/>
      <c r="H36" s="17"/>
      <c r="I36" s="17"/>
      <c r="J36" s="17"/>
      <c r="K36" s="17"/>
      <c r="L36" s="17"/>
    </row>
    <row r="37" spans="1:12" ht="27.75" customHeight="1" x14ac:dyDescent="0.25">
      <c r="A37" s="41" t="str">
        <f>IF(Hulpblad_overig!B30=1,Financieringsplan!H59,"")</f>
        <v/>
      </c>
      <c r="B37" s="18"/>
      <c r="C37" s="18"/>
      <c r="D37" s="7"/>
      <c r="E37" s="17"/>
      <c r="F37" s="17"/>
      <c r="G37" s="17"/>
      <c r="H37" s="17"/>
      <c r="I37" s="17"/>
      <c r="J37" s="17"/>
      <c r="K37" s="17"/>
      <c r="L37" s="17"/>
    </row>
    <row r="38" spans="1:12" x14ac:dyDescent="0.25">
      <c r="A38" s="18"/>
      <c r="B38" s="18"/>
      <c r="C38" s="18"/>
      <c r="D38" s="7"/>
      <c r="E38" s="17"/>
      <c r="F38" s="17"/>
      <c r="G38" s="17"/>
      <c r="H38" s="17"/>
      <c r="I38" s="17"/>
      <c r="J38" s="17"/>
      <c r="K38" s="17"/>
      <c r="L38" s="17"/>
    </row>
    <row r="39" spans="1:12" x14ac:dyDescent="0.25">
      <c r="A39" s="15" t="s">
        <v>94</v>
      </c>
      <c r="B39" s="18"/>
      <c r="C39" s="18"/>
      <c r="D39" s="7"/>
      <c r="E39" s="17"/>
      <c r="F39" s="17"/>
      <c r="G39" s="17"/>
      <c r="H39" s="17"/>
      <c r="I39" s="17"/>
      <c r="J39" s="17"/>
      <c r="K39" s="17"/>
      <c r="L39" s="17"/>
    </row>
    <row r="40" spans="1:12" x14ac:dyDescent="0.25">
      <c r="A40" s="42" t="e">
        <f>IF(AND(Hulpblad_overig!B15=2,Financieringsplan!$E$13&lt;20%),"Voeg contract, offerte of intentieverklaring toe van financier ",IF(AND(Hulpblad_overig!B15=1,Financieringsplan!G79&lt;20%),"Voeg contract, offerte of intentieverklaring toe van financier "&amp;Financieringsplan!B84&amp;"",""))</f>
        <v>#DIV/0!</v>
      </c>
      <c r="B40" s="18"/>
      <c r="C40" s="18"/>
      <c r="D40" s="7"/>
      <c r="E40" s="17"/>
      <c r="F40" s="17"/>
      <c r="G40" s="17"/>
      <c r="H40" s="17"/>
      <c r="I40" s="17"/>
      <c r="J40" s="17"/>
      <c r="K40" s="17"/>
      <c r="L40" s="17"/>
    </row>
    <row r="41" spans="1:12" x14ac:dyDescent="0.25">
      <c r="A41" s="43" t="e">
        <f>IF(AND(Financieringsplan!G85&gt;0,Financieringsplan!$G$79&lt;20%),"Voeg contract, offerte of intentieverklaring toe van financier "&amp;Financieringsplan!B85&amp;"","")</f>
        <v>#DIV/0!</v>
      </c>
      <c r="B41" s="18"/>
      <c r="C41" s="18"/>
      <c r="D41" s="7"/>
      <c r="E41" s="17"/>
      <c r="F41" s="17"/>
      <c r="G41" s="17"/>
      <c r="H41" s="17"/>
      <c r="I41" s="17"/>
      <c r="J41" s="17"/>
      <c r="K41" s="17"/>
      <c r="L41" s="17"/>
    </row>
    <row r="42" spans="1:12" x14ac:dyDescent="0.25">
      <c r="A42" s="39" t="e">
        <f>IF(AND(Financieringsplan!G86&gt;0,Financieringsplan!$G$79&lt;20%),"Voeg contract, offerte of intentieverklaring toe van financier "&amp;Financieringsplan!B86&amp;"","")</f>
        <v>#DIV/0!</v>
      </c>
      <c r="B42" s="18"/>
      <c r="C42" s="18"/>
      <c r="D42" s="7"/>
      <c r="E42" s="17"/>
      <c r="F42" s="17"/>
      <c r="G42" s="17"/>
      <c r="H42" s="17"/>
      <c r="I42" s="17"/>
      <c r="J42" s="17"/>
      <c r="K42" s="17"/>
      <c r="L42" s="17"/>
    </row>
    <row r="43" spans="1:12" x14ac:dyDescent="0.25">
      <c r="A43" s="39" t="e">
        <f>IF(AND(Financieringsplan!G87&gt;0,Financieringsplan!$G$79&lt;20%),"Voeg contract, offerte of intentieverklaring toe van financier "&amp;Financieringsplan!B87&amp;"","")</f>
        <v>#DIV/0!</v>
      </c>
      <c r="B43" s="18"/>
      <c r="C43" s="18"/>
      <c r="D43" s="7"/>
      <c r="E43" s="17"/>
      <c r="F43" s="17"/>
      <c r="G43" s="17"/>
      <c r="H43" s="17"/>
      <c r="I43" s="17"/>
      <c r="J43" s="17"/>
      <c r="K43" s="17"/>
      <c r="L43" s="17"/>
    </row>
    <row r="44" spans="1:12" x14ac:dyDescent="0.25">
      <c r="A44" s="39" t="e">
        <f>IF(AND(Financieringsplan!G88&gt;0,Financieringsplan!$G$79&lt;20%),"Voeg contract, offerte of intentieverklaring toe van financier "&amp;Financieringsplan!B88&amp;"","")</f>
        <v>#DIV/0!</v>
      </c>
      <c r="B44" s="18"/>
      <c r="C44" s="18"/>
      <c r="D44" s="7"/>
      <c r="E44" s="17"/>
      <c r="F44" s="17"/>
      <c r="G44" s="17"/>
      <c r="H44" s="17"/>
      <c r="I44" s="17"/>
      <c r="J44" s="17"/>
      <c r="K44" s="17"/>
      <c r="L44" s="17"/>
    </row>
    <row r="45" spans="1:12" x14ac:dyDescent="0.25">
      <c r="A45" s="39" t="e">
        <f>IF(AND(Financieringsplan!G89&gt;0,Financieringsplan!$G$79&lt;20%),"Voeg contract, offerte of intentieverklaring toe van financier "&amp;Financieringsplan!B89&amp;"","")</f>
        <v>#DIV/0!</v>
      </c>
      <c r="B45" s="18"/>
      <c r="C45" s="18"/>
      <c r="D45" s="7"/>
      <c r="E45" s="17"/>
      <c r="F45" s="17"/>
      <c r="G45" s="17"/>
      <c r="H45" s="17"/>
      <c r="I45" s="17"/>
      <c r="J45" s="17"/>
      <c r="K45" s="17"/>
      <c r="L45" s="17"/>
    </row>
    <row r="46" spans="1:12" x14ac:dyDescent="0.25">
      <c r="A46" s="39" t="e">
        <f>IF(AND(Financieringsplan!G90&gt;0,Financieringsplan!$G$79&lt;20%),"Voeg contract, offerte of intentieverklaring toe van financier "&amp;Financieringsplan!B90&amp;"","")</f>
        <v>#DIV/0!</v>
      </c>
      <c r="B46" s="18"/>
      <c r="C46" s="18"/>
      <c r="D46" s="7"/>
      <c r="E46" s="17"/>
      <c r="F46" s="17"/>
      <c r="G46" s="17"/>
      <c r="H46" s="17"/>
      <c r="I46" s="17"/>
      <c r="J46" s="17"/>
      <c r="K46" s="17"/>
      <c r="L46" s="17"/>
    </row>
    <row r="47" spans="1:12" x14ac:dyDescent="0.25">
      <c r="A47" s="39" t="e">
        <f>IF(AND(Financieringsplan!G91&gt;0,Financieringsplan!$G$79&lt;20%),"Voeg contract, offerte of intentieverklaring toe van financier "&amp;Financieringsplan!B91&amp;"","")</f>
        <v>#DIV/0!</v>
      </c>
      <c r="B47" s="18"/>
      <c r="C47" s="18"/>
      <c r="D47" s="7"/>
      <c r="E47" s="17"/>
      <c r="F47" s="17"/>
      <c r="G47" s="17"/>
      <c r="H47" s="17"/>
      <c r="I47" s="17"/>
      <c r="J47" s="17"/>
      <c r="K47" s="17"/>
      <c r="L47" s="17"/>
    </row>
    <row r="48" spans="1:12" x14ac:dyDescent="0.25">
      <c r="A48" s="39" t="e">
        <f>IF(AND(Financieringsplan!G92&gt;0,Financieringsplan!$G$79&lt;20%),"Voeg contract, offerte of intentieverklaring toe van financier "&amp;Financieringsplan!B92&amp;"","")</f>
        <v>#DIV/0!</v>
      </c>
      <c r="B48" s="18"/>
      <c r="C48" s="18"/>
      <c r="D48" s="7"/>
      <c r="E48" s="17"/>
      <c r="F48" s="17"/>
      <c r="G48" s="17"/>
      <c r="H48" s="17"/>
      <c r="I48" s="17"/>
      <c r="J48" s="17"/>
      <c r="K48" s="17"/>
      <c r="L48" s="17"/>
    </row>
    <row r="49" spans="1:12" x14ac:dyDescent="0.25">
      <c r="A49" s="40" t="e">
        <f>IF(AND(Financieringsplan!G93&gt;0,Financieringsplan!$G$79&lt;20%),"Voeg contract, offerte of intentieverklaring toe van financier "&amp;Financieringsplan!B93&amp;"","")</f>
        <v>#DIV/0!</v>
      </c>
      <c r="B49" s="18"/>
      <c r="C49" s="18"/>
      <c r="D49" s="7"/>
      <c r="E49" s="17"/>
      <c r="F49" s="17"/>
      <c r="G49" s="17"/>
      <c r="H49" s="17"/>
      <c r="I49" s="17"/>
      <c r="J49" s="17"/>
      <c r="K49" s="17"/>
      <c r="L49" s="17"/>
    </row>
    <row r="50" spans="1:12" x14ac:dyDescent="0.25">
      <c r="A50" s="6"/>
      <c r="B50" s="18"/>
      <c r="C50" s="18"/>
      <c r="D50" s="7"/>
      <c r="E50" s="17"/>
      <c r="F50" s="17"/>
      <c r="G50" s="17"/>
      <c r="H50" s="17"/>
      <c r="I50" s="17"/>
      <c r="J50" s="17"/>
      <c r="K50" s="17"/>
      <c r="L50" s="17"/>
    </row>
    <row r="51" spans="1:12" x14ac:dyDescent="0.25">
      <c r="D51" s="7"/>
      <c r="E51" s="17"/>
      <c r="F51" s="17"/>
      <c r="G51" s="17"/>
      <c r="H51" s="17"/>
      <c r="I51" s="17"/>
      <c r="J51" s="17"/>
      <c r="K51" s="17"/>
      <c r="L51" s="17"/>
    </row>
    <row r="52" spans="1:12" ht="18" x14ac:dyDescent="0.25">
      <c r="A52" s="13" t="s">
        <v>95</v>
      </c>
      <c r="E52" s="17"/>
      <c r="F52" s="17"/>
      <c r="G52" s="17"/>
      <c r="H52" s="17"/>
      <c r="I52" s="17"/>
      <c r="J52" s="17"/>
      <c r="K52" s="17"/>
      <c r="L52" s="17"/>
    </row>
    <row r="53" spans="1:12" ht="30" customHeight="1" x14ac:dyDescent="0.25">
      <c r="A53" s="96" t="s">
        <v>329</v>
      </c>
      <c r="B53" s="95"/>
      <c r="C53" s="18"/>
      <c r="E53" s="17"/>
      <c r="F53" s="17"/>
      <c r="G53" s="17"/>
      <c r="H53" s="17"/>
      <c r="I53" s="17"/>
      <c r="J53" s="17"/>
      <c r="K53" s="17"/>
      <c r="L53" s="17"/>
    </row>
    <row r="54" spans="1:12" ht="12.75" customHeight="1" x14ac:dyDescent="0.25">
      <c r="A54" s="15"/>
      <c r="E54" s="19"/>
      <c r="F54" s="19"/>
      <c r="G54" s="19"/>
      <c r="H54" s="19"/>
      <c r="I54" s="19"/>
      <c r="J54" s="19"/>
      <c r="K54" s="19"/>
      <c r="L54" s="19"/>
    </row>
    <row r="55" spans="1:12" ht="12.75" customHeight="1" x14ac:dyDescent="0.25">
      <c r="A55" s="13"/>
      <c r="E55" s="17"/>
      <c r="F55" s="17"/>
      <c r="G55" s="17"/>
      <c r="H55" s="17"/>
      <c r="I55" s="17"/>
      <c r="J55" s="17"/>
      <c r="K55" s="17"/>
      <c r="L55" s="17"/>
    </row>
    <row r="56" spans="1:12" ht="18" x14ac:dyDescent="0.25">
      <c r="A56" s="13" t="s">
        <v>96</v>
      </c>
      <c r="B56" s="97"/>
      <c r="E56" s="17"/>
      <c r="F56" s="17"/>
      <c r="G56" s="17"/>
      <c r="H56" s="17"/>
      <c r="I56" s="17"/>
      <c r="J56" s="17"/>
      <c r="K56" s="17"/>
      <c r="L56" s="17"/>
    </row>
    <row r="57" spans="1:12" x14ac:dyDescent="0.25">
      <c r="E57" s="6"/>
      <c r="F57" s="17"/>
      <c r="G57" s="17"/>
      <c r="H57" s="17"/>
      <c r="I57" s="17"/>
      <c r="J57" s="17"/>
      <c r="K57" s="17"/>
      <c r="L57" s="17"/>
    </row>
    <row r="58" spans="1:12" ht="12.75" customHeight="1" x14ac:dyDescent="0.25">
      <c r="A58" s="15" t="s">
        <v>97</v>
      </c>
      <c r="B58" s="3"/>
      <c r="F58" s="17"/>
      <c r="G58" s="17"/>
      <c r="H58" s="17"/>
      <c r="I58" s="17"/>
      <c r="J58" s="17"/>
      <c r="K58" s="17"/>
      <c r="L58" s="17"/>
    </row>
    <row r="59" spans="1:12" ht="12.75" customHeight="1" x14ac:dyDescent="0.25">
      <c r="A59" s="38" t="str">
        <f>Financieringsplan!H30</f>
        <v/>
      </c>
      <c r="B59" s="3"/>
      <c r="F59" s="17"/>
      <c r="G59" s="17"/>
      <c r="H59" s="17"/>
      <c r="I59" s="17"/>
      <c r="J59" s="17"/>
      <c r="K59" s="17"/>
      <c r="L59" s="17"/>
    </row>
    <row r="60" spans="1:12" ht="12.75" customHeight="1" x14ac:dyDescent="0.25">
      <c r="A60" s="39" t="str">
        <f>Financieringsplan!H31</f>
        <v/>
      </c>
      <c r="B60" s="3"/>
      <c r="F60" s="17"/>
      <c r="G60" s="17"/>
      <c r="H60" s="17"/>
      <c r="I60" s="17"/>
      <c r="J60" s="17"/>
      <c r="K60" s="17"/>
      <c r="L60" s="17"/>
    </row>
    <row r="61" spans="1:12" ht="12.75" customHeight="1" x14ac:dyDescent="0.25">
      <c r="A61" s="39" t="str">
        <f>Financieringsplan!H32</f>
        <v/>
      </c>
      <c r="B61" s="3"/>
      <c r="F61" s="17"/>
      <c r="G61" s="17"/>
      <c r="H61" s="17"/>
      <c r="I61" s="17"/>
      <c r="J61" s="17"/>
      <c r="K61" s="17"/>
      <c r="L61" s="17"/>
    </row>
    <row r="62" spans="1:12" ht="12.75" customHeight="1" x14ac:dyDescent="0.25">
      <c r="A62" s="39" t="str">
        <f>Financieringsplan!H33</f>
        <v/>
      </c>
      <c r="B62" s="3"/>
      <c r="F62" s="26"/>
      <c r="G62" s="26"/>
      <c r="H62" s="26"/>
      <c r="I62" s="26"/>
      <c r="J62" s="26"/>
      <c r="K62" s="26"/>
      <c r="L62" s="26"/>
    </row>
    <row r="63" spans="1:12" ht="12.75" customHeight="1" x14ac:dyDescent="0.25">
      <c r="A63" s="39" t="str">
        <f>Financieringsplan!H34</f>
        <v/>
      </c>
      <c r="B63" s="3"/>
      <c r="F63" s="19"/>
      <c r="G63" s="19"/>
      <c r="H63" s="19"/>
      <c r="I63" s="19"/>
      <c r="J63" s="19"/>
      <c r="K63" s="19"/>
      <c r="L63" s="19"/>
    </row>
    <row r="64" spans="1:12" ht="12.75" customHeight="1" x14ac:dyDescent="0.25">
      <c r="A64" s="39" t="str">
        <f>Financieringsplan!H35</f>
        <v/>
      </c>
      <c r="B64" s="3"/>
      <c r="F64" s="19"/>
      <c r="G64" s="19"/>
      <c r="H64" s="19"/>
      <c r="I64" s="19"/>
      <c r="J64" s="19"/>
      <c r="K64" s="19"/>
      <c r="L64" s="19"/>
    </row>
    <row r="65" spans="1:12" ht="12.75" customHeight="1" x14ac:dyDescent="0.25">
      <c r="A65" s="39" t="str">
        <f>Financieringsplan!H36</f>
        <v/>
      </c>
      <c r="B65" s="3"/>
      <c r="F65" s="19"/>
      <c r="G65" s="19"/>
      <c r="H65" s="19"/>
      <c r="I65" s="19"/>
      <c r="J65" s="19"/>
      <c r="K65" s="19"/>
      <c r="L65" s="19"/>
    </row>
    <row r="66" spans="1:12" x14ac:dyDescent="0.25">
      <c r="A66" s="40" t="str">
        <f>Financieringsplan!H37</f>
        <v/>
      </c>
      <c r="B66" s="3"/>
      <c r="F66" s="17"/>
      <c r="G66" s="17"/>
      <c r="H66" s="17"/>
      <c r="I66" s="17"/>
      <c r="J66" s="17"/>
      <c r="K66" s="17"/>
      <c r="L66" s="17"/>
    </row>
    <row r="67" spans="1:12" x14ac:dyDescent="0.25">
      <c r="B67" s="18"/>
      <c r="F67" s="19"/>
      <c r="G67" s="19"/>
      <c r="H67" s="19"/>
      <c r="I67" s="19"/>
      <c r="J67" s="19"/>
      <c r="K67" s="19"/>
      <c r="L67" s="19"/>
    </row>
    <row r="68" spans="1:12" x14ac:dyDescent="0.25">
      <c r="A68" s="15" t="s">
        <v>98</v>
      </c>
      <c r="B68" s="3"/>
      <c r="D68" s="17"/>
      <c r="F68" s="7"/>
      <c r="G68" s="7"/>
      <c r="H68" s="7"/>
      <c r="I68" s="7"/>
      <c r="J68" s="7"/>
      <c r="K68" s="7"/>
      <c r="L68" s="7"/>
    </row>
    <row r="69" spans="1:12" s="15" customFormat="1" ht="12.75" x14ac:dyDescent="0.2">
      <c r="A69" s="37" t="str">
        <f>Financieringsplan!H38</f>
        <v/>
      </c>
      <c r="D69" s="20"/>
      <c r="E69" s="19"/>
      <c r="F69" s="19"/>
      <c r="G69" s="19"/>
      <c r="H69" s="19"/>
      <c r="I69" s="19"/>
      <c r="J69" s="19"/>
      <c r="K69" s="19"/>
      <c r="L69" s="19"/>
    </row>
    <row r="70" spans="1:12" x14ac:dyDescent="0.25">
      <c r="E70" s="7"/>
      <c r="F70" s="7"/>
      <c r="G70" s="7"/>
      <c r="H70" s="7"/>
      <c r="I70" s="7"/>
      <c r="J70" s="7"/>
      <c r="K70" s="7"/>
      <c r="L70" s="7"/>
    </row>
    <row r="71" spans="1:12" x14ac:dyDescent="0.25">
      <c r="A71" s="15" t="s">
        <v>94</v>
      </c>
      <c r="E71" s="17"/>
      <c r="F71" s="17"/>
      <c r="G71" s="17"/>
      <c r="H71" s="17"/>
      <c r="I71" s="17"/>
      <c r="J71" s="17"/>
      <c r="K71" s="17"/>
      <c r="L71" s="17"/>
    </row>
    <row r="72" spans="1:12" x14ac:dyDescent="0.25">
      <c r="A72" s="45" t="e">
        <f>IF(AND(Financieringsplan!G84&gt;0,Financieringsplan!$G$79&gt;=20%),"Voeg eventueel contract, offerte of intentieverklaring toe van "&amp;Financieringsplan!B84&amp;"","")</f>
        <v>#DIV/0!</v>
      </c>
      <c r="E72" s="17"/>
      <c r="F72" s="17"/>
      <c r="G72" s="17"/>
      <c r="H72" s="17"/>
      <c r="I72" s="17"/>
      <c r="J72" s="17"/>
      <c r="K72" s="17"/>
      <c r="L72" s="17"/>
    </row>
    <row r="73" spans="1:12" x14ac:dyDescent="0.25">
      <c r="A73" s="44" t="e">
        <f>IF(AND(Financieringsplan!G85&gt;0,Financieringsplan!$G$79&gt;=20%),"Voeg eventueel contract, offerte of intentieverklaring toe van "&amp;Financieringsplan!B85&amp;"","")</f>
        <v>#DIV/0!</v>
      </c>
      <c r="B73" s="9"/>
      <c r="C73" s="9"/>
      <c r="D73" s="7"/>
      <c r="E73" s="7"/>
      <c r="F73" s="7"/>
      <c r="G73" s="7"/>
      <c r="H73" s="7"/>
      <c r="I73" s="7"/>
      <c r="J73" s="7"/>
      <c r="K73" s="7"/>
      <c r="L73" s="7"/>
    </row>
    <row r="74" spans="1:12" x14ac:dyDescent="0.25">
      <c r="A74" s="44" t="e">
        <f>IF(AND(Financieringsplan!G86&gt;0,Financieringsplan!$G$79&gt;=20%),"Voeg eventueel contract, offerte of intentieverklaring toe van "&amp;Financieringsplan!B86&amp;"","")</f>
        <v>#DIV/0!</v>
      </c>
      <c r="B74" s="17"/>
      <c r="C74" s="17"/>
      <c r="D74" s="7"/>
      <c r="E74" s="7"/>
      <c r="F74" s="7"/>
      <c r="G74" s="7"/>
      <c r="H74" s="7"/>
      <c r="I74" s="7"/>
      <c r="J74" s="7"/>
      <c r="K74" s="7"/>
      <c r="L74" s="7"/>
    </row>
    <row r="75" spans="1:12" x14ac:dyDescent="0.25">
      <c r="A75" s="44" t="e">
        <f>IF(AND(Financieringsplan!G87&gt;0,Financieringsplan!$G$79&gt;=20%),"Voeg eventueel contract, offerte of intentieverklaring toe van "&amp;Financieringsplan!B87&amp;"","")</f>
        <v>#DIV/0!</v>
      </c>
      <c r="B75" s="17"/>
      <c r="C75" s="17"/>
      <c r="D75" s="7"/>
      <c r="E75" s="7"/>
      <c r="F75" s="7"/>
      <c r="G75" s="7"/>
      <c r="H75" s="7"/>
      <c r="I75" s="7"/>
      <c r="J75" s="7"/>
      <c r="K75" s="7"/>
      <c r="L75" s="7"/>
    </row>
    <row r="76" spans="1:12" x14ac:dyDescent="0.25">
      <c r="A76" s="46" t="e">
        <f>IF(AND(Financieringsplan!G88&gt;0,Financieringsplan!$G$79&gt;=20%),"Voeg eventueel contract, offerte of intentieverklaring toe van "&amp;Financieringsplan!B88&amp;"","")</f>
        <v>#DIV/0!</v>
      </c>
      <c r="B76" s="17"/>
      <c r="C76" s="17"/>
      <c r="D76" s="7"/>
      <c r="E76" s="7"/>
      <c r="F76" s="7"/>
      <c r="G76" s="7"/>
      <c r="H76" s="7"/>
      <c r="I76" s="7"/>
      <c r="J76" s="7"/>
      <c r="K76" s="7"/>
      <c r="L76" s="7"/>
    </row>
    <row r="77" spans="1:12" x14ac:dyDescent="0.25">
      <c r="A77" s="47" t="e">
        <f>IF(AND(Financieringsplan!G89&gt;0,Financieringsplan!$G$79&gt;=20%),"Voeg eventueel contract, offerte of intentieverklaring toe van "&amp;Financieringsplan!B89&amp;"","")</f>
        <v>#DIV/0!</v>
      </c>
      <c r="B77" s="9"/>
      <c r="C77" s="9"/>
      <c r="D77" s="7"/>
      <c r="E77" s="7"/>
      <c r="F77" s="7"/>
      <c r="G77" s="7"/>
      <c r="H77" s="7"/>
      <c r="I77" s="7"/>
      <c r="J77" s="7"/>
      <c r="K77" s="7"/>
      <c r="L77" s="7"/>
    </row>
    <row r="78" spans="1:12" x14ac:dyDescent="0.25">
      <c r="A78" s="47" t="e">
        <f>IF(AND(Financieringsplan!G90&gt;0,Financieringsplan!$G$79&gt;=20%),"Voeg eventueel contract, offerte of intentieverklaring toe van "&amp;Financieringsplan!B90&amp;"","")</f>
        <v>#DIV/0!</v>
      </c>
      <c r="B78" s="17"/>
      <c r="C78" s="17"/>
      <c r="D78" s="7"/>
      <c r="E78" s="7"/>
      <c r="F78" s="7"/>
      <c r="G78" s="7"/>
      <c r="H78" s="7"/>
      <c r="I78" s="7"/>
      <c r="J78" s="7"/>
      <c r="K78" s="7"/>
      <c r="L78" s="7"/>
    </row>
    <row r="79" spans="1:12" x14ac:dyDescent="0.25">
      <c r="A79" s="44" t="e">
        <f>IF(AND(Financieringsplan!G91&gt;0,Financieringsplan!$G$79&gt;=20%),"Voeg eventueel contract, offerte of intentieverklaring toe van "&amp;Financieringsplan!B91&amp;"","")</f>
        <v>#DIV/0!</v>
      </c>
      <c r="B79" s="17"/>
      <c r="C79" s="17"/>
      <c r="D79" s="7"/>
      <c r="E79" s="7"/>
      <c r="F79" s="7"/>
      <c r="G79" s="7"/>
      <c r="H79" s="7"/>
      <c r="I79" s="7"/>
      <c r="J79" s="7"/>
      <c r="K79" s="7"/>
      <c r="L79" s="7"/>
    </row>
    <row r="80" spans="1:12" x14ac:dyDescent="0.25">
      <c r="A80" s="47" t="e">
        <f>IF(AND(Financieringsplan!G92&gt;0,Financieringsplan!$G$79&gt;=20%),"Voeg eventueel contract, offerte of intentieverklaring toe van "&amp;Financieringsplan!B92&amp;"","")</f>
        <v>#DIV/0!</v>
      </c>
      <c r="B80" s="17"/>
      <c r="C80" s="17"/>
      <c r="D80" s="7"/>
      <c r="E80" s="7"/>
      <c r="F80" s="7"/>
      <c r="G80" s="7"/>
      <c r="H80" s="7"/>
      <c r="I80" s="7"/>
      <c r="J80" s="7"/>
      <c r="K80" s="7"/>
      <c r="L80" s="7"/>
    </row>
    <row r="81" spans="1:12" x14ac:dyDescent="0.25">
      <c r="A81" s="48" t="e">
        <f>IF(AND(Financieringsplan!G93&gt;0,Financieringsplan!$G$79&gt;=20%),"Voeg eventueel contract, offerte of intentieverklaring toe van "&amp;Financieringsplan!B93&amp;"","")</f>
        <v>#DIV/0!</v>
      </c>
      <c r="B81" s="17"/>
      <c r="C81" s="17"/>
      <c r="D81" s="7"/>
      <c r="E81" s="7"/>
      <c r="F81" s="7"/>
      <c r="G81" s="7"/>
      <c r="H81" s="7"/>
      <c r="I81" s="7"/>
      <c r="J81" s="7"/>
      <c r="K81" s="7"/>
      <c r="L81" s="7"/>
    </row>
    <row r="82" spans="1:12" x14ac:dyDescent="0.25">
      <c r="B82" s="17"/>
      <c r="C82" s="17"/>
      <c r="D82" s="7"/>
      <c r="E82" s="7"/>
      <c r="F82" s="7"/>
      <c r="G82" s="7"/>
      <c r="H82" s="7"/>
      <c r="I82" s="7"/>
      <c r="J82" s="7"/>
      <c r="K82" s="7"/>
      <c r="L82" s="7"/>
    </row>
    <row r="83" spans="1:12" s="15" customFormat="1" ht="12.75" x14ac:dyDescent="0.2">
      <c r="B83" s="20"/>
      <c r="C83" s="20"/>
      <c r="D83" s="19"/>
      <c r="E83" s="19"/>
      <c r="F83" s="19"/>
      <c r="G83" s="19"/>
      <c r="H83" s="19"/>
      <c r="I83" s="19"/>
      <c r="J83" s="19"/>
      <c r="K83" s="19"/>
      <c r="L83" s="19"/>
    </row>
    <row r="84" spans="1:12" s="15" customFormat="1" ht="12.75" x14ac:dyDescent="0.2">
      <c r="B84" s="20"/>
      <c r="C84" s="20"/>
      <c r="D84" s="20"/>
      <c r="E84" s="20"/>
      <c r="F84" s="20"/>
      <c r="G84" s="20"/>
      <c r="H84" s="20"/>
      <c r="I84" s="20"/>
      <c r="J84" s="20"/>
      <c r="K84" s="20"/>
      <c r="L84" s="20"/>
    </row>
    <row r="85" spans="1:12" s="15" customFormat="1" ht="12.75" x14ac:dyDescent="0.2">
      <c r="A85" s="6"/>
      <c r="B85" s="9"/>
      <c r="C85" s="9"/>
    </row>
    <row r="86" spans="1:12" s="15" customFormat="1" ht="12.75" x14ac:dyDescent="0.2">
      <c r="B86" s="8"/>
      <c r="C86" s="8"/>
      <c r="D86" s="19"/>
      <c r="E86" s="23"/>
      <c r="F86" s="23"/>
      <c r="G86" s="23"/>
      <c r="H86" s="23"/>
      <c r="I86" s="23"/>
      <c r="J86" s="23"/>
      <c r="K86" s="23"/>
      <c r="L86" s="23"/>
    </row>
    <row r="87" spans="1:12" s="15" customFormat="1" x14ac:dyDescent="0.25">
      <c r="B87" s="8"/>
      <c r="C87" s="8"/>
      <c r="D87" s="19"/>
      <c r="E87" s="7"/>
      <c r="F87" s="23"/>
      <c r="G87" s="23"/>
      <c r="H87" s="23"/>
      <c r="I87" s="23"/>
      <c r="J87" s="23"/>
      <c r="K87" s="23"/>
      <c r="L87" s="23"/>
    </row>
    <row r="88" spans="1:12" s="15" customFormat="1" x14ac:dyDescent="0.25">
      <c r="B88" s="8"/>
      <c r="C88" s="8"/>
      <c r="D88" s="19"/>
      <c r="E88" s="7"/>
      <c r="F88" s="23"/>
      <c r="G88" s="23"/>
      <c r="H88" s="23"/>
      <c r="I88" s="23"/>
      <c r="J88" s="23"/>
      <c r="K88" s="23"/>
      <c r="L88" s="23"/>
    </row>
    <row r="89" spans="1:12" s="15" customFormat="1" x14ac:dyDescent="0.25">
      <c r="B89" s="8"/>
      <c r="C89" s="8"/>
      <c r="D89" s="19"/>
      <c r="E89" s="7"/>
      <c r="F89" s="23"/>
      <c r="G89" s="23"/>
      <c r="H89" s="23"/>
      <c r="I89" s="23"/>
      <c r="J89" s="23"/>
      <c r="K89" s="23"/>
      <c r="L89" s="23"/>
    </row>
    <row r="90" spans="1:12" s="15" customFormat="1" x14ac:dyDescent="0.25">
      <c r="B90" s="8"/>
      <c r="C90" s="8"/>
      <c r="D90" s="19"/>
      <c r="E90" s="7"/>
      <c r="F90" s="23"/>
      <c r="G90" s="23"/>
      <c r="H90" s="23"/>
      <c r="I90" s="23"/>
      <c r="J90" s="23"/>
      <c r="K90" s="23"/>
      <c r="L90" s="23"/>
    </row>
    <row r="91" spans="1:12" s="15" customFormat="1" x14ac:dyDescent="0.25">
      <c r="B91" s="8"/>
      <c r="C91" s="8"/>
      <c r="D91" s="19"/>
      <c r="E91" s="7"/>
      <c r="F91" s="23"/>
      <c r="G91" s="23"/>
      <c r="H91" s="23"/>
      <c r="I91" s="23"/>
      <c r="J91" s="23"/>
      <c r="K91" s="23"/>
      <c r="L91" s="23"/>
    </row>
    <row r="92" spans="1:12" s="15" customFormat="1" x14ac:dyDescent="0.25">
      <c r="B92" s="8"/>
      <c r="C92" s="8"/>
      <c r="D92" s="19"/>
      <c r="E92" s="7"/>
      <c r="F92" s="23"/>
      <c r="G92" s="23"/>
      <c r="H92" s="23"/>
      <c r="I92" s="23"/>
      <c r="J92" s="23"/>
      <c r="K92" s="23"/>
      <c r="L92" s="23"/>
    </row>
    <row r="93" spans="1:12" s="15" customFormat="1" x14ac:dyDescent="0.25">
      <c r="B93" s="8"/>
      <c r="C93" s="8"/>
      <c r="D93" s="19"/>
      <c r="E93" s="7"/>
      <c r="F93" s="23"/>
      <c r="G93" s="23"/>
      <c r="H93" s="23"/>
      <c r="I93" s="23"/>
      <c r="J93" s="23"/>
      <c r="K93" s="23"/>
      <c r="L93" s="23"/>
    </row>
    <row r="94" spans="1:12" s="15" customFormat="1" ht="12.75" x14ac:dyDescent="0.2">
      <c r="B94" s="20"/>
      <c r="C94" s="20"/>
      <c r="D94" s="19"/>
      <c r="E94" s="4"/>
      <c r="F94" s="19"/>
      <c r="G94" s="19"/>
      <c r="H94" s="19"/>
      <c r="I94" s="19"/>
      <c r="J94" s="19"/>
      <c r="K94" s="19"/>
      <c r="L94" s="19"/>
    </row>
    <row r="95" spans="1:12" s="15" customFormat="1" ht="12.75" x14ac:dyDescent="0.2">
      <c r="A95" s="6"/>
      <c r="B95" s="20"/>
      <c r="C95" s="20"/>
      <c r="D95" s="19"/>
      <c r="E95" s="19"/>
      <c r="F95" s="19"/>
      <c r="G95" s="19"/>
      <c r="H95" s="19"/>
      <c r="I95" s="19"/>
      <c r="J95" s="19"/>
      <c r="K95" s="19"/>
      <c r="L95" s="19"/>
    </row>
    <row r="96" spans="1:12" s="15" customFormat="1" ht="12.75" x14ac:dyDescent="0.2">
      <c r="B96" s="20"/>
      <c r="C96" s="20"/>
      <c r="D96" s="19"/>
      <c r="E96" s="19"/>
      <c r="F96" s="19"/>
      <c r="G96" s="19"/>
      <c r="H96" s="19"/>
      <c r="I96" s="19"/>
      <c r="J96" s="19"/>
      <c r="K96" s="19"/>
      <c r="L96" s="19"/>
    </row>
    <row r="97" spans="1:13" s="15" customFormat="1" ht="12.75" x14ac:dyDescent="0.2">
      <c r="B97" s="20"/>
      <c r="C97" s="20"/>
      <c r="D97" s="20"/>
      <c r="E97" s="20"/>
      <c r="F97" s="20"/>
      <c r="G97" s="20"/>
      <c r="H97" s="20"/>
      <c r="I97" s="20"/>
      <c r="J97" s="20"/>
      <c r="K97" s="20"/>
      <c r="L97" s="20"/>
    </row>
    <row r="98" spans="1:13" x14ac:dyDescent="0.25">
      <c r="A98" s="6"/>
      <c r="D98" s="7"/>
      <c r="E98" s="7"/>
      <c r="F98" s="7"/>
      <c r="G98" s="7"/>
      <c r="H98" s="7"/>
      <c r="I98" s="7"/>
      <c r="J98" s="7"/>
      <c r="K98" s="7"/>
      <c r="L98" s="7"/>
      <c r="M98" s="17"/>
    </row>
    <row r="99" spans="1:13" hidden="1" x14ac:dyDescent="0.25">
      <c r="A99" s="6"/>
      <c r="D99" s="7"/>
      <c r="E99" s="7"/>
      <c r="F99" s="7"/>
      <c r="G99" s="7"/>
      <c r="H99" s="7"/>
      <c r="I99" s="7"/>
      <c r="J99" s="7"/>
      <c r="K99" s="7"/>
      <c r="L99" s="7"/>
    </row>
    <row r="100" spans="1:13" hidden="1" x14ac:dyDescent="0.25">
      <c r="A100" s="6"/>
      <c r="D100" s="7"/>
      <c r="E100" s="7"/>
      <c r="F100" s="7"/>
      <c r="G100" s="7"/>
      <c r="H100" s="7"/>
      <c r="I100" s="7"/>
      <c r="J100" s="7"/>
      <c r="K100" s="7"/>
      <c r="L100" s="7"/>
      <c r="M100" s="7"/>
    </row>
    <row r="101" spans="1:13" hidden="1" x14ac:dyDescent="0.25">
      <c r="A101" s="6"/>
      <c r="D101" s="7"/>
      <c r="E101" s="7"/>
      <c r="F101" s="7"/>
      <c r="G101" s="7"/>
      <c r="H101" s="7"/>
      <c r="I101" s="7"/>
      <c r="J101" s="7"/>
      <c r="K101" s="7"/>
      <c r="L101" s="7"/>
      <c r="M101" s="7"/>
    </row>
    <row r="102" spans="1:13" hidden="1" x14ac:dyDescent="0.25">
      <c r="A102" s="6"/>
      <c r="D102" s="7"/>
      <c r="E102" s="7"/>
      <c r="F102" s="7"/>
      <c r="G102" s="7"/>
      <c r="H102" s="7"/>
      <c r="I102" s="7"/>
      <c r="J102" s="7"/>
      <c r="K102" s="7"/>
      <c r="L102" s="7"/>
      <c r="M102" s="7"/>
    </row>
    <row r="103" spans="1:13" hidden="1" x14ac:dyDescent="0.25">
      <c r="A103" s="6"/>
      <c r="D103" s="7"/>
      <c r="E103" s="7"/>
      <c r="F103" s="7"/>
      <c r="G103" s="7"/>
      <c r="H103" s="7"/>
      <c r="I103" s="7"/>
      <c r="J103" s="7"/>
      <c r="K103" s="7"/>
      <c r="L103" s="7"/>
      <c r="M103" s="7"/>
    </row>
    <row r="104" spans="1:13" x14ac:dyDescent="0.25">
      <c r="A104" s="6"/>
      <c r="B104" s="25"/>
      <c r="C104" s="25"/>
      <c r="D104" s="7"/>
      <c r="E104" s="7"/>
      <c r="F104" s="7"/>
      <c r="G104" s="7"/>
      <c r="H104" s="7"/>
      <c r="I104" s="7"/>
      <c r="J104" s="7"/>
      <c r="K104" s="7"/>
      <c r="L104" s="7"/>
      <c r="M104" s="7"/>
    </row>
    <row r="105" spans="1:13" x14ac:dyDescent="0.25">
      <c r="A105" s="6"/>
      <c r="B105" s="28"/>
      <c r="C105" s="28"/>
      <c r="D105" s="7"/>
      <c r="E105" s="7"/>
      <c r="F105" s="7"/>
      <c r="G105" s="7"/>
      <c r="H105" s="7"/>
      <c r="I105" s="7"/>
      <c r="J105" s="7"/>
      <c r="K105" s="7"/>
      <c r="L105" s="7"/>
      <c r="M105" s="7"/>
    </row>
    <row r="106" spans="1:13" x14ac:dyDescent="0.25">
      <c r="A106" s="6"/>
      <c r="D106" s="7"/>
      <c r="E106" s="7"/>
      <c r="F106" s="7"/>
      <c r="G106" s="7"/>
      <c r="H106" s="7"/>
      <c r="I106" s="7"/>
      <c r="J106" s="7"/>
      <c r="K106" s="7"/>
      <c r="L106" s="7"/>
      <c r="M106" s="7"/>
    </row>
    <row r="107" spans="1:13" s="15" customFormat="1" ht="12.75" x14ac:dyDescent="0.2">
      <c r="A107" s="27"/>
      <c r="D107" s="19"/>
      <c r="E107" s="19"/>
      <c r="F107" s="19"/>
      <c r="G107" s="19"/>
      <c r="H107" s="19"/>
      <c r="I107" s="19"/>
      <c r="J107" s="19"/>
      <c r="K107" s="19"/>
      <c r="L107" s="19"/>
    </row>
    <row r="108" spans="1:13" s="15" customFormat="1" ht="12.75" x14ac:dyDescent="0.2">
      <c r="D108" s="19"/>
      <c r="E108" s="19"/>
      <c r="F108" s="19"/>
      <c r="G108" s="19"/>
      <c r="H108" s="19"/>
      <c r="I108" s="19"/>
      <c r="J108" s="19"/>
      <c r="K108" s="19"/>
      <c r="L108" s="19"/>
    </row>
    <row r="109" spans="1:13" s="15" customFormat="1" ht="12.75" x14ac:dyDescent="0.2">
      <c r="D109" s="19"/>
      <c r="E109" s="19"/>
      <c r="F109" s="19"/>
      <c r="G109" s="19"/>
      <c r="H109" s="19"/>
      <c r="I109" s="19"/>
      <c r="J109" s="19"/>
      <c r="K109" s="19"/>
      <c r="L109" s="19"/>
    </row>
    <row r="110" spans="1:13" s="15" customFormat="1" ht="12.75" x14ac:dyDescent="0.2">
      <c r="D110" s="19"/>
      <c r="E110" s="19"/>
      <c r="F110" s="19"/>
      <c r="G110" s="19"/>
      <c r="H110" s="19"/>
      <c r="I110" s="19"/>
      <c r="J110" s="19"/>
      <c r="K110" s="19"/>
      <c r="L110" s="19"/>
    </row>
    <row r="111" spans="1:13" x14ac:dyDescent="0.25">
      <c r="A111" s="6"/>
      <c r="D111" s="7"/>
      <c r="E111" s="7"/>
      <c r="F111" s="7"/>
      <c r="G111" s="7"/>
      <c r="H111" s="7"/>
      <c r="I111" s="7"/>
      <c r="J111" s="7"/>
      <c r="K111" s="7"/>
      <c r="L111" s="7"/>
    </row>
    <row r="112" spans="1:13" x14ac:dyDescent="0.25">
      <c r="A112" s="6"/>
      <c r="D112" s="7"/>
      <c r="E112" s="7"/>
      <c r="F112" s="7"/>
      <c r="G112" s="7"/>
      <c r="H112" s="7"/>
      <c r="I112" s="7"/>
      <c r="J112" s="7"/>
      <c r="K112" s="7"/>
      <c r="L112" s="7"/>
    </row>
    <row r="113" spans="1:16" x14ac:dyDescent="0.25">
      <c r="A113" s="6"/>
      <c r="D113" s="7"/>
      <c r="E113" s="7"/>
      <c r="F113" s="7"/>
      <c r="G113" s="7"/>
      <c r="H113" s="7"/>
      <c r="I113" s="7"/>
      <c r="J113" s="7"/>
      <c r="K113" s="7"/>
      <c r="L113" s="7"/>
    </row>
    <row r="114" spans="1:16" s="15" customFormat="1" ht="12.75" x14ac:dyDescent="0.2">
      <c r="D114" s="19"/>
      <c r="E114" s="19"/>
      <c r="F114" s="19"/>
      <c r="G114" s="19"/>
      <c r="H114" s="19"/>
      <c r="I114" s="19"/>
      <c r="J114" s="19"/>
      <c r="K114" s="19"/>
      <c r="L114" s="19"/>
    </row>
    <row r="115" spans="1:16" x14ac:dyDescent="0.25">
      <c r="D115" s="7"/>
      <c r="E115" s="7"/>
      <c r="F115" s="7"/>
      <c r="G115" s="7"/>
      <c r="H115" s="7"/>
      <c r="I115" s="7"/>
      <c r="J115" s="7"/>
      <c r="K115" s="7"/>
      <c r="L115" s="7"/>
    </row>
    <row r="116" spans="1:16" x14ac:dyDescent="0.25">
      <c r="A116" s="6"/>
      <c r="D116" s="7"/>
      <c r="E116" s="7"/>
      <c r="F116" s="7"/>
      <c r="G116" s="7"/>
      <c r="H116" s="7"/>
      <c r="I116" s="7"/>
      <c r="J116" s="7"/>
      <c r="K116" s="7"/>
      <c r="L116" s="7"/>
    </row>
    <row r="117" spans="1:16" x14ac:dyDescent="0.25">
      <c r="D117" s="7"/>
      <c r="E117" s="7"/>
      <c r="F117" s="7"/>
      <c r="G117" s="7"/>
      <c r="H117" s="7"/>
      <c r="I117" s="7"/>
      <c r="J117" s="7"/>
      <c r="K117" s="7"/>
      <c r="L117" s="7"/>
    </row>
    <row r="118" spans="1:16" x14ac:dyDescent="0.25">
      <c r="D118" s="7"/>
      <c r="E118" s="7"/>
      <c r="F118" s="7"/>
      <c r="G118" s="7"/>
      <c r="H118" s="7"/>
      <c r="I118" s="7"/>
      <c r="J118" s="7"/>
      <c r="K118" s="7"/>
      <c r="L118" s="7"/>
    </row>
    <row r="119" spans="1:16" s="15" customFormat="1" ht="12.75" x14ac:dyDescent="0.2">
      <c r="D119" s="19"/>
      <c r="E119" s="19"/>
      <c r="F119" s="19"/>
      <c r="G119" s="19"/>
      <c r="H119" s="19"/>
      <c r="I119" s="19"/>
      <c r="J119" s="19"/>
      <c r="K119" s="19"/>
      <c r="L119" s="19"/>
    </row>
    <row r="120" spans="1:16" s="15" customFormat="1" ht="12.75" x14ac:dyDescent="0.2">
      <c r="D120" s="19"/>
      <c r="E120" s="19"/>
      <c r="F120" s="19"/>
      <c r="G120" s="19"/>
      <c r="H120" s="19"/>
      <c r="I120" s="19"/>
      <c r="J120" s="19"/>
      <c r="K120" s="19"/>
      <c r="L120" s="19"/>
    </row>
    <row r="121" spans="1:16" s="15" customFormat="1" ht="12.75" x14ac:dyDescent="0.2">
      <c r="D121" s="19"/>
      <c r="E121" s="19"/>
      <c r="F121" s="19"/>
      <c r="G121" s="19"/>
      <c r="H121" s="19"/>
      <c r="I121" s="19"/>
      <c r="J121" s="19"/>
      <c r="K121" s="19"/>
      <c r="L121" s="19"/>
      <c r="M121" s="20"/>
      <c r="N121" s="20"/>
      <c r="O121" s="20"/>
      <c r="P121" s="20"/>
    </row>
    <row r="122" spans="1:16" x14ac:dyDescent="0.25">
      <c r="D122" s="7"/>
      <c r="E122" s="7"/>
      <c r="F122" s="7"/>
      <c r="G122" s="7"/>
      <c r="H122" s="7"/>
      <c r="I122" s="7"/>
      <c r="J122" s="7"/>
      <c r="K122" s="7"/>
      <c r="L122" s="7"/>
    </row>
    <row r="123" spans="1:16" ht="24.95" customHeight="1" x14ac:dyDescent="0.25">
      <c r="A123" s="29"/>
      <c r="B123" s="30"/>
      <c r="C123" s="30"/>
      <c r="D123" s="31"/>
      <c r="E123" s="32"/>
      <c r="F123" s="32"/>
      <c r="G123" s="32"/>
      <c r="H123" s="32"/>
      <c r="I123" s="32"/>
      <c r="J123" s="32"/>
      <c r="K123" s="32"/>
      <c r="L123" s="32"/>
    </row>
    <row r="126" spans="1:16" x14ac:dyDescent="0.25">
      <c r="A126" s="15"/>
      <c r="D126" s="19"/>
      <c r="E126" s="19"/>
      <c r="F126" s="19"/>
      <c r="G126" s="19"/>
      <c r="H126" s="19"/>
      <c r="I126" s="19"/>
      <c r="J126" s="19"/>
      <c r="K126" s="19"/>
      <c r="L126" s="19"/>
    </row>
    <row r="128" spans="1:16" ht="24.75" customHeight="1" x14ac:dyDescent="0.25">
      <c r="A128" s="29"/>
      <c r="B128" s="29"/>
      <c r="C128" s="29"/>
      <c r="E128" s="33"/>
    </row>
    <row r="131" spans="1:12" x14ac:dyDescent="0.25">
      <c r="A131" s="15"/>
      <c r="E131" s="34"/>
      <c r="F131" s="34"/>
      <c r="G131" s="34"/>
      <c r="H131" s="34"/>
      <c r="I131" s="34"/>
      <c r="J131" s="34"/>
      <c r="K131" s="34"/>
      <c r="L131" s="34"/>
    </row>
    <row r="133" spans="1:12" ht="24.75" customHeight="1" x14ac:dyDescent="0.25">
      <c r="A133" s="29"/>
    </row>
    <row r="136" spans="1:12" x14ac:dyDescent="0.25">
      <c r="A136" s="15"/>
    </row>
    <row r="137" spans="1:12" x14ac:dyDescent="0.25">
      <c r="A137" s="567"/>
      <c r="B137" s="567"/>
      <c r="C137" s="6"/>
    </row>
    <row r="138" spans="1:12" x14ac:dyDescent="0.25">
      <c r="A138" s="485"/>
      <c r="B138" s="485"/>
      <c r="C138" s="3"/>
    </row>
    <row r="139" spans="1:12" x14ac:dyDescent="0.25">
      <c r="A139" s="485"/>
      <c r="B139" s="485"/>
      <c r="C139" s="3"/>
    </row>
    <row r="140" spans="1:12" x14ac:dyDescent="0.25">
      <c r="A140" s="485"/>
      <c r="B140" s="485"/>
      <c r="C140" s="3"/>
    </row>
    <row r="141" spans="1:12" x14ac:dyDescent="0.25">
      <c r="A141" s="485"/>
      <c r="B141" s="485"/>
      <c r="C141" s="3"/>
    </row>
    <row r="142" spans="1:12" x14ac:dyDescent="0.25">
      <c r="A142" s="485"/>
      <c r="B142" s="485"/>
      <c r="C142" s="3"/>
    </row>
    <row r="143" spans="1:12" x14ac:dyDescent="0.25">
      <c r="A143" s="485"/>
      <c r="B143" s="485"/>
      <c r="C143" s="3"/>
    </row>
  </sheetData>
  <sheetProtection algorithmName="SHA-512" hashValue="jS7FkKgg2DDyZ56CMUdZ4MGkgjphFEbt1L4toDFmemn1ftVV69r/gGOwtVNrO8jCz3enibYk6+adYuYRqEr4sg==" saltValue="MSMnu+Obrkw6vW0rzpBQLw==" spinCount="100000" sheet="1" objects="1" scenarios="1"/>
  <mergeCells count="7">
    <mergeCell ref="A143:B143"/>
    <mergeCell ref="A137:B137"/>
    <mergeCell ref="A138:B138"/>
    <mergeCell ref="A139:B139"/>
    <mergeCell ref="A140:B140"/>
    <mergeCell ref="A141:B141"/>
    <mergeCell ref="A142:B14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2B00B-0B8A-4D4B-B96C-6B2E39F3BD56}">
  <dimension ref="A1:I8"/>
  <sheetViews>
    <sheetView zoomScale="75" zoomScaleNormal="75" workbookViewId="0">
      <selection activeCell="C7" sqref="C7"/>
    </sheetView>
  </sheetViews>
  <sheetFormatPr defaultRowHeight="12.75" x14ac:dyDescent="0.2"/>
  <cols>
    <col min="1" max="1" width="155.28515625" style="50" customWidth="1"/>
    <col min="2" max="3" width="29.85546875" style="50" customWidth="1"/>
    <col min="4" max="4" width="26.7109375" style="50" customWidth="1"/>
    <col min="5" max="5" width="26.5703125" style="50" customWidth="1"/>
    <col min="6" max="6" width="25.7109375" style="50" customWidth="1"/>
    <col min="7" max="7" width="28.5703125" style="50" customWidth="1"/>
    <col min="8" max="8" width="27.7109375" style="50" customWidth="1"/>
    <col min="9" max="17" width="25.7109375" style="50" customWidth="1"/>
    <col min="18" max="18" width="29.7109375" style="50" customWidth="1"/>
    <col min="19" max="19" width="25.7109375" style="50" customWidth="1"/>
    <col min="20" max="20" width="44.7109375" style="50" customWidth="1"/>
    <col min="21" max="21" width="25.7109375" style="50" customWidth="1"/>
    <col min="22" max="22" width="32.140625" style="50" customWidth="1"/>
    <col min="23" max="23" width="38.28515625" style="50" customWidth="1"/>
    <col min="24" max="24" width="32.7109375" style="50" customWidth="1"/>
    <col min="25" max="25" width="61" style="50" customWidth="1"/>
    <col min="26" max="26" width="25.7109375" style="50" customWidth="1"/>
    <col min="27" max="27" width="90.140625" style="50" customWidth="1"/>
    <col min="28" max="28" width="71.140625" style="50" customWidth="1"/>
    <col min="29" max="29" width="13.5703125" style="50" customWidth="1"/>
    <col min="30" max="256" width="9.140625" style="50"/>
    <col min="257" max="257" width="155.28515625" style="50" customWidth="1"/>
    <col min="258" max="259" width="29.85546875" style="50" customWidth="1"/>
    <col min="260" max="260" width="26.7109375" style="50" customWidth="1"/>
    <col min="261" max="261" width="26.5703125" style="50" customWidth="1"/>
    <col min="262" max="262" width="25.7109375" style="50" customWidth="1"/>
    <col min="263" max="263" width="28.5703125" style="50" customWidth="1"/>
    <col min="264" max="264" width="27.7109375" style="50" customWidth="1"/>
    <col min="265" max="273" width="25.7109375" style="50" customWidth="1"/>
    <col min="274" max="274" width="29.7109375" style="50" customWidth="1"/>
    <col min="275" max="275" width="25.7109375" style="50" customWidth="1"/>
    <col min="276" max="276" width="44.7109375" style="50" customWidth="1"/>
    <col min="277" max="277" width="25.7109375" style="50" customWidth="1"/>
    <col min="278" max="278" width="32.140625" style="50" customWidth="1"/>
    <col min="279" max="279" width="38.28515625" style="50" customWidth="1"/>
    <col min="280" max="280" width="32.7109375" style="50" customWidth="1"/>
    <col min="281" max="281" width="61" style="50" customWidth="1"/>
    <col min="282" max="282" width="25.7109375" style="50" customWidth="1"/>
    <col min="283" max="283" width="206.85546875" style="50" customWidth="1"/>
    <col min="284" max="284" width="71.140625" style="50" customWidth="1"/>
    <col min="285" max="285" width="13.5703125" style="50" customWidth="1"/>
    <col min="286" max="512" width="9.140625" style="50"/>
    <col min="513" max="513" width="155.28515625" style="50" customWidth="1"/>
    <col min="514" max="515" width="29.85546875" style="50" customWidth="1"/>
    <col min="516" max="516" width="26.7109375" style="50" customWidth="1"/>
    <col min="517" max="517" width="26.5703125" style="50" customWidth="1"/>
    <col min="518" max="518" width="25.7109375" style="50" customWidth="1"/>
    <col min="519" max="519" width="28.5703125" style="50" customWidth="1"/>
    <col min="520" max="520" width="27.7109375" style="50" customWidth="1"/>
    <col min="521" max="529" width="25.7109375" style="50" customWidth="1"/>
    <col min="530" max="530" width="29.7109375" style="50" customWidth="1"/>
    <col min="531" max="531" width="25.7109375" style="50" customWidth="1"/>
    <col min="532" max="532" width="44.7109375" style="50" customWidth="1"/>
    <col min="533" max="533" width="25.7109375" style="50" customWidth="1"/>
    <col min="534" max="534" width="32.140625" style="50" customWidth="1"/>
    <col min="535" max="535" width="38.28515625" style="50" customWidth="1"/>
    <col min="536" max="536" width="32.7109375" style="50" customWidth="1"/>
    <col min="537" max="537" width="61" style="50" customWidth="1"/>
    <col min="538" max="538" width="25.7109375" style="50" customWidth="1"/>
    <col min="539" max="539" width="206.85546875" style="50" customWidth="1"/>
    <col min="540" max="540" width="71.140625" style="50" customWidth="1"/>
    <col min="541" max="541" width="13.5703125" style="50" customWidth="1"/>
    <col min="542" max="768" width="9.140625" style="50"/>
    <col min="769" max="769" width="155.28515625" style="50" customWidth="1"/>
    <col min="770" max="771" width="29.85546875" style="50" customWidth="1"/>
    <col min="772" max="772" width="26.7109375" style="50" customWidth="1"/>
    <col min="773" max="773" width="26.5703125" style="50" customWidth="1"/>
    <col min="774" max="774" width="25.7109375" style="50" customWidth="1"/>
    <col min="775" max="775" width="28.5703125" style="50" customWidth="1"/>
    <col min="776" max="776" width="27.7109375" style="50" customWidth="1"/>
    <col min="777" max="785" width="25.7109375" style="50" customWidth="1"/>
    <col min="786" max="786" width="29.7109375" style="50" customWidth="1"/>
    <col min="787" max="787" width="25.7109375" style="50" customWidth="1"/>
    <col min="788" max="788" width="44.7109375" style="50" customWidth="1"/>
    <col min="789" max="789" width="25.7109375" style="50" customWidth="1"/>
    <col min="790" max="790" width="32.140625" style="50" customWidth="1"/>
    <col min="791" max="791" width="38.28515625" style="50" customWidth="1"/>
    <col min="792" max="792" width="32.7109375" style="50" customWidth="1"/>
    <col min="793" max="793" width="61" style="50" customWidth="1"/>
    <col min="794" max="794" width="25.7109375" style="50" customWidth="1"/>
    <col min="795" max="795" width="206.85546875" style="50" customWidth="1"/>
    <col min="796" max="796" width="71.140625" style="50" customWidth="1"/>
    <col min="797" max="797" width="13.5703125" style="50" customWidth="1"/>
    <col min="798" max="1024" width="9.140625" style="50"/>
    <col min="1025" max="1025" width="155.28515625" style="50" customWidth="1"/>
    <col min="1026" max="1027" width="29.85546875" style="50" customWidth="1"/>
    <col min="1028" max="1028" width="26.7109375" style="50" customWidth="1"/>
    <col min="1029" max="1029" width="26.5703125" style="50" customWidth="1"/>
    <col min="1030" max="1030" width="25.7109375" style="50" customWidth="1"/>
    <col min="1031" max="1031" width="28.5703125" style="50" customWidth="1"/>
    <col min="1032" max="1032" width="27.7109375" style="50" customWidth="1"/>
    <col min="1033" max="1041" width="25.7109375" style="50" customWidth="1"/>
    <col min="1042" max="1042" width="29.7109375" style="50" customWidth="1"/>
    <col min="1043" max="1043" width="25.7109375" style="50" customWidth="1"/>
    <col min="1044" max="1044" width="44.7109375" style="50" customWidth="1"/>
    <col min="1045" max="1045" width="25.7109375" style="50" customWidth="1"/>
    <col min="1046" max="1046" width="32.140625" style="50" customWidth="1"/>
    <col min="1047" max="1047" width="38.28515625" style="50" customWidth="1"/>
    <col min="1048" max="1048" width="32.7109375" style="50" customWidth="1"/>
    <col min="1049" max="1049" width="61" style="50" customWidth="1"/>
    <col min="1050" max="1050" width="25.7109375" style="50" customWidth="1"/>
    <col min="1051" max="1051" width="206.85546875" style="50" customWidth="1"/>
    <col min="1052" max="1052" width="71.140625" style="50" customWidth="1"/>
    <col min="1053" max="1053" width="13.5703125" style="50" customWidth="1"/>
    <col min="1054" max="1280" width="9.140625" style="50"/>
    <col min="1281" max="1281" width="155.28515625" style="50" customWidth="1"/>
    <col min="1282" max="1283" width="29.85546875" style="50" customWidth="1"/>
    <col min="1284" max="1284" width="26.7109375" style="50" customWidth="1"/>
    <col min="1285" max="1285" width="26.5703125" style="50" customWidth="1"/>
    <col min="1286" max="1286" width="25.7109375" style="50" customWidth="1"/>
    <col min="1287" max="1287" width="28.5703125" style="50" customWidth="1"/>
    <col min="1288" max="1288" width="27.7109375" style="50" customWidth="1"/>
    <col min="1289" max="1297" width="25.7109375" style="50" customWidth="1"/>
    <col min="1298" max="1298" width="29.7109375" style="50" customWidth="1"/>
    <col min="1299" max="1299" width="25.7109375" style="50" customWidth="1"/>
    <col min="1300" max="1300" width="44.7109375" style="50" customWidth="1"/>
    <col min="1301" max="1301" width="25.7109375" style="50" customWidth="1"/>
    <col min="1302" max="1302" width="32.140625" style="50" customWidth="1"/>
    <col min="1303" max="1303" width="38.28515625" style="50" customWidth="1"/>
    <col min="1304" max="1304" width="32.7109375" style="50" customWidth="1"/>
    <col min="1305" max="1305" width="61" style="50" customWidth="1"/>
    <col min="1306" max="1306" width="25.7109375" style="50" customWidth="1"/>
    <col min="1307" max="1307" width="206.85546875" style="50" customWidth="1"/>
    <col min="1308" max="1308" width="71.140625" style="50" customWidth="1"/>
    <col min="1309" max="1309" width="13.5703125" style="50" customWidth="1"/>
    <col min="1310" max="1536" width="9.140625" style="50"/>
    <col min="1537" max="1537" width="155.28515625" style="50" customWidth="1"/>
    <col min="1538" max="1539" width="29.85546875" style="50" customWidth="1"/>
    <col min="1540" max="1540" width="26.7109375" style="50" customWidth="1"/>
    <col min="1541" max="1541" width="26.5703125" style="50" customWidth="1"/>
    <col min="1542" max="1542" width="25.7109375" style="50" customWidth="1"/>
    <col min="1543" max="1543" width="28.5703125" style="50" customWidth="1"/>
    <col min="1544" max="1544" width="27.7109375" style="50" customWidth="1"/>
    <col min="1545" max="1553" width="25.7109375" style="50" customWidth="1"/>
    <col min="1554" max="1554" width="29.7109375" style="50" customWidth="1"/>
    <col min="1555" max="1555" width="25.7109375" style="50" customWidth="1"/>
    <col min="1556" max="1556" width="44.7109375" style="50" customWidth="1"/>
    <col min="1557" max="1557" width="25.7109375" style="50" customWidth="1"/>
    <col min="1558" max="1558" width="32.140625" style="50" customWidth="1"/>
    <col min="1559" max="1559" width="38.28515625" style="50" customWidth="1"/>
    <col min="1560" max="1560" width="32.7109375" style="50" customWidth="1"/>
    <col min="1561" max="1561" width="61" style="50" customWidth="1"/>
    <col min="1562" max="1562" width="25.7109375" style="50" customWidth="1"/>
    <col min="1563" max="1563" width="206.85546875" style="50" customWidth="1"/>
    <col min="1564" max="1564" width="71.140625" style="50" customWidth="1"/>
    <col min="1565" max="1565" width="13.5703125" style="50" customWidth="1"/>
    <col min="1566" max="1792" width="9.140625" style="50"/>
    <col min="1793" max="1793" width="155.28515625" style="50" customWidth="1"/>
    <col min="1794" max="1795" width="29.85546875" style="50" customWidth="1"/>
    <col min="1796" max="1796" width="26.7109375" style="50" customWidth="1"/>
    <col min="1797" max="1797" width="26.5703125" style="50" customWidth="1"/>
    <col min="1798" max="1798" width="25.7109375" style="50" customWidth="1"/>
    <col min="1799" max="1799" width="28.5703125" style="50" customWidth="1"/>
    <col min="1800" max="1800" width="27.7109375" style="50" customWidth="1"/>
    <col min="1801" max="1809" width="25.7109375" style="50" customWidth="1"/>
    <col min="1810" max="1810" width="29.7109375" style="50" customWidth="1"/>
    <col min="1811" max="1811" width="25.7109375" style="50" customWidth="1"/>
    <col min="1812" max="1812" width="44.7109375" style="50" customWidth="1"/>
    <col min="1813" max="1813" width="25.7109375" style="50" customWidth="1"/>
    <col min="1814" max="1814" width="32.140625" style="50" customWidth="1"/>
    <col min="1815" max="1815" width="38.28515625" style="50" customWidth="1"/>
    <col min="1816" max="1816" width="32.7109375" style="50" customWidth="1"/>
    <col min="1817" max="1817" width="61" style="50" customWidth="1"/>
    <col min="1818" max="1818" width="25.7109375" style="50" customWidth="1"/>
    <col min="1819" max="1819" width="206.85546875" style="50" customWidth="1"/>
    <col min="1820" max="1820" width="71.140625" style="50" customWidth="1"/>
    <col min="1821" max="1821" width="13.5703125" style="50" customWidth="1"/>
    <col min="1822" max="2048" width="9.140625" style="50"/>
    <col min="2049" max="2049" width="155.28515625" style="50" customWidth="1"/>
    <col min="2050" max="2051" width="29.85546875" style="50" customWidth="1"/>
    <col min="2052" max="2052" width="26.7109375" style="50" customWidth="1"/>
    <col min="2053" max="2053" width="26.5703125" style="50" customWidth="1"/>
    <col min="2054" max="2054" width="25.7109375" style="50" customWidth="1"/>
    <col min="2055" max="2055" width="28.5703125" style="50" customWidth="1"/>
    <col min="2056" max="2056" width="27.7109375" style="50" customWidth="1"/>
    <col min="2057" max="2065" width="25.7109375" style="50" customWidth="1"/>
    <col min="2066" max="2066" width="29.7109375" style="50" customWidth="1"/>
    <col min="2067" max="2067" width="25.7109375" style="50" customWidth="1"/>
    <col min="2068" max="2068" width="44.7109375" style="50" customWidth="1"/>
    <col min="2069" max="2069" width="25.7109375" style="50" customWidth="1"/>
    <col min="2070" max="2070" width="32.140625" style="50" customWidth="1"/>
    <col min="2071" max="2071" width="38.28515625" style="50" customWidth="1"/>
    <col min="2072" max="2072" width="32.7109375" style="50" customWidth="1"/>
    <col min="2073" max="2073" width="61" style="50" customWidth="1"/>
    <col min="2074" max="2074" width="25.7109375" style="50" customWidth="1"/>
    <col min="2075" max="2075" width="206.85546875" style="50" customWidth="1"/>
    <col min="2076" max="2076" width="71.140625" style="50" customWidth="1"/>
    <col min="2077" max="2077" width="13.5703125" style="50" customWidth="1"/>
    <col min="2078" max="2304" width="9.140625" style="50"/>
    <col min="2305" max="2305" width="155.28515625" style="50" customWidth="1"/>
    <col min="2306" max="2307" width="29.85546875" style="50" customWidth="1"/>
    <col min="2308" max="2308" width="26.7109375" style="50" customWidth="1"/>
    <col min="2309" max="2309" width="26.5703125" style="50" customWidth="1"/>
    <col min="2310" max="2310" width="25.7109375" style="50" customWidth="1"/>
    <col min="2311" max="2311" width="28.5703125" style="50" customWidth="1"/>
    <col min="2312" max="2312" width="27.7109375" style="50" customWidth="1"/>
    <col min="2313" max="2321" width="25.7109375" style="50" customWidth="1"/>
    <col min="2322" max="2322" width="29.7109375" style="50" customWidth="1"/>
    <col min="2323" max="2323" width="25.7109375" style="50" customWidth="1"/>
    <col min="2324" max="2324" width="44.7109375" style="50" customWidth="1"/>
    <col min="2325" max="2325" width="25.7109375" style="50" customWidth="1"/>
    <col min="2326" max="2326" width="32.140625" style="50" customWidth="1"/>
    <col min="2327" max="2327" width="38.28515625" style="50" customWidth="1"/>
    <col min="2328" max="2328" width="32.7109375" style="50" customWidth="1"/>
    <col min="2329" max="2329" width="61" style="50" customWidth="1"/>
    <col min="2330" max="2330" width="25.7109375" style="50" customWidth="1"/>
    <col min="2331" max="2331" width="206.85546875" style="50" customWidth="1"/>
    <col min="2332" max="2332" width="71.140625" style="50" customWidth="1"/>
    <col min="2333" max="2333" width="13.5703125" style="50" customWidth="1"/>
    <col min="2334" max="2560" width="9.140625" style="50"/>
    <col min="2561" max="2561" width="155.28515625" style="50" customWidth="1"/>
    <col min="2562" max="2563" width="29.85546875" style="50" customWidth="1"/>
    <col min="2564" max="2564" width="26.7109375" style="50" customWidth="1"/>
    <col min="2565" max="2565" width="26.5703125" style="50" customWidth="1"/>
    <col min="2566" max="2566" width="25.7109375" style="50" customWidth="1"/>
    <col min="2567" max="2567" width="28.5703125" style="50" customWidth="1"/>
    <col min="2568" max="2568" width="27.7109375" style="50" customWidth="1"/>
    <col min="2569" max="2577" width="25.7109375" style="50" customWidth="1"/>
    <col min="2578" max="2578" width="29.7109375" style="50" customWidth="1"/>
    <col min="2579" max="2579" width="25.7109375" style="50" customWidth="1"/>
    <col min="2580" max="2580" width="44.7109375" style="50" customWidth="1"/>
    <col min="2581" max="2581" width="25.7109375" style="50" customWidth="1"/>
    <col min="2582" max="2582" width="32.140625" style="50" customWidth="1"/>
    <col min="2583" max="2583" width="38.28515625" style="50" customWidth="1"/>
    <col min="2584" max="2584" width="32.7109375" style="50" customWidth="1"/>
    <col min="2585" max="2585" width="61" style="50" customWidth="1"/>
    <col min="2586" max="2586" width="25.7109375" style="50" customWidth="1"/>
    <col min="2587" max="2587" width="206.85546875" style="50" customWidth="1"/>
    <col min="2588" max="2588" width="71.140625" style="50" customWidth="1"/>
    <col min="2589" max="2589" width="13.5703125" style="50" customWidth="1"/>
    <col min="2590" max="2816" width="9.140625" style="50"/>
    <col min="2817" max="2817" width="155.28515625" style="50" customWidth="1"/>
    <col min="2818" max="2819" width="29.85546875" style="50" customWidth="1"/>
    <col min="2820" max="2820" width="26.7109375" style="50" customWidth="1"/>
    <col min="2821" max="2821" width="26.5703125" style="50" customWidth="1"/>
    <col min="2822" max="2822" width="25.7109375" style="50" customWidth="1"/>
    <col min="2823" max="2823" width="28.5703125" style="50" customWidth="1"/>
    <col min="2824" max="2824" width="27.7109375" style="50" customWidth="1"/>
    <col min="2825" max="2833" width="25.7109375" style="50" customWidth="1"/>
    <col min="2834" max="2834" width="29.7109375" style="50" customWidth="1"/>
    <col min="2835" max="2835" width="25.7109375" style="50" customWidth="1"/>
    <col min="2836" max="2836" width="44.7109375" style="50" customWidth="1"/>
    <col min="2837" max="2837" width="25.7109375" style="50" customWidth="1"/>
    <col min="2838" max="2838" width="32.140625" style="50" customWidth="1"/>
    <col min="2839" max="2839" width="38.28515625" style="50" customWidth="1"/>
    <col min="2840" max="2840" width="32.7109375" style="50" customWidth="1"/>
    <col min="2841" max="2841" width="61" style="50" customWidth="1"/>
    <col min="2842" max="2842" width="25.7109375" style="50" customWidth="1"/>
    <col min="2843" max="2843" width="206.85546875" style="50" customWidth="1"/>
    <col min="2844" max="2844" width="71.140625" style="50" customWidth="1"/>
    <col min="2845" max="2845" width="13.5703125" style="50" customWidth="1"/>
    <col min="2846" max="3072" width="9.140625" style="50"/>
    <col min="3073" max="3073" width="155.28515625" style="50" customWidth="1"/>
    <col min="3074" max="3075" width="29.85546875" style="50" customWidth="1"/>
    <col min="3076" max="3076" width="26.7109375" style="50" customWidth="1"/>
    <col min="3077" max="3077" width="26.5703125" style="50" customWidth="1"/>
    <col min="3078" max="3078" width="25.7109375" style="50" customWidth="1"/>
    <col min="3079" max="3079" width="28.5703125" style="50" customWidth="1"/>
    <col min="3080" max="3080" width="27.7109375" style="50" customWidth="1"/>
    <col min="3081" max="3089" width="25.7109375" style="50" customWidth="1"/>
    <col min="3090" max="3090" width="29.7109375" style="50" customWidth="1"/>
    <col min="3091" max="3091" width="25.7109375" style="50" customWidth="1"/>
    <col min="3092" max="3092" width="44.7109375" style="50" customWidth="1"/>
    <col min="3093" max="3093" width="25.7109375" style="50" customWidth="1"/>
    <col min="3094" max="3094" width="32.140625" style="50" customWidth="1"/>
    <col min="3095" max="3095" width="38.28515625" style="50" customWidth="1"/>
    <col min="3096" max="3096" width="32.7109375" style="50" customWidth="1"/>
    <col min="3097" max="3097" width="61" style="50" customWidth="1"/>
    <col min="3098" max="3098" width="25.7109375" style="50" customWidth="1"/>
    <col min="3099" max="3099" width="206.85546875" style="50" customWidth="1"/>
    <col min="3100" max="3100" width="71.140625" style="50" customWidth="1"/>
    <col min="3101" max="3101" width="13.5703125" style="50" customWidth="1"/>
    <col min="3102" max="3328" width="9.140625" style="50"/>
    <col min="3329" max="3329" width="155.28515625" style="50" customWidth="1"/>
    <col min="3330" max="3331" width="29.85546875" style="50" customWidth="1"/>
    <col min="3332" max="3332" width="26.7109375" style="50" customWidth="1"/>
    <col min="3333" max="3333" width="26.5703125" style="50" customWidth="1"/>
    <col min="3334" max="3334" width="25.7109375" style="50" customWidth="1"/>
    <col min="3335" max="3335" width="28.5703125" style="50" customWidth="1"/>
    <col min="3336" max="3336" width="27.7109375" style="50" customWidth="1"/>
    <col min="3337" max="3345" width="25.7109375" style="50" customWidth="1"/>
    <col min="3346" max="3346" width="29.7109375" style="50" customWidth="1"/>
    <col min="3347" max="3347" width="25.7109375" style="50" customWidth="1"/>
    <col min="3348" max="3348" width="44.7109375" style="50" customWidth="1"/>
    <col min="3349" max="3349" width="25.7109375" style="50" customWidth="1"/>
    <col min="3350" max="3350" width="32.140625" style="50" customWidth="1"/>
    <col min="3351" max="3351" width="38.28515625" style="50" customWidth="1"/>
    <col min="3352" max="3352" width="32.7109375" style="50" customWidth="1"/>
    <col min="3353" max="3353" width="61" style="50" customWidth="1"/>
    <col min="3354" max="3354" width="25.7109375" style="50" customWidth="1"/>
    <col min="3355" max="3355" width="206.85546875" style="50" customWidth="1"/>
    <col min="3356" max="3356" width="71.140625" style="50" customWidth="1"/>
    <col min="3357" max="3357" width="13.5703125" style="50" customWidth="1"/>
    <col min="3358" max="3584" width="9.140625" style="50"/>
    <col min="3585" max="3585" width="155.28515625" style="50" customWidth="1"/>
    <col min="3586" max="3587" width="29.85546875" style="50" customWidth="1"/>
    <col min="3588" max="3588" width="26.7109375" style="50" customWidth="1"/>
    <col min="3589" max="3589" width="26.5703125" style="50" customWidth="1"/>
    <col min="3590" max="3590" width="25.7109375" style="50" customWidth="1"/>
    <col min="3591" max="3591" width="28.5703125" style="50" customWidth="1"/>
    <col min="3592" max="3592" width="27.7109375" style="50" customWidth="1"/>
    <col min="3593" max="3601" width="25.7109375" style="50" customWidth="1"/>
    <col min="3602" max="3602" width="29.7109375" style="50" customWidth="1"/>
    <col min="3603" max="3603" width="25.7109375" style="50" customWidth="1"/>
    <col min="3604" max="3604" width="44.7109375" style="50" customWidth="1"/>
    <col min="3605" max="3605" width="25.7109375" style="50" customWidth="1"/>
    <col min="3606" max="3606" width="32.140625" style="50" customWidth="1"/>
    <col min="3607" max="3607" width="38.28515625" style="50" customWidth="1"/>
    <col min="3608" max="3608" width="32.7109375" style="50" customWidth="1"/>
    <col min="3609" max="3609" width="61" style="50" customWidth="1"/>
    <col min="3610" max="3610" width="25.7109375" style="50" customWidth="1"/>
    <col min="3611" max="3611" width="206.85546875" style="50" customWidth="1"/>
    <col min="3612" max="3612" width="71.140625" style="50" customWidth="1"/>
    <col min="3613" max="3613" width="13.5703125" style="50" customWidth="1"/>
    <col min="3614" max="3840" width="9.140625" style="50"/>
    <col min="3841" max="3841" width="155.28515625" style="50" customWidth="1"/>
    <col min="3842" max="3843" width="29.85546875" style="50" customWidth="1"/>
    <col min="3844" max="3844" width="26.7109375" style="50" customWidth="1"/>
    <col min="3845" max="3845" width="26.5703125" style="50" customWidth="1"/>
    <col min="3846" max="3846" width="25.7109375" style="50" customWidth="1"/>
    <col min="3847" max="3847" width="28.5703125" style="50" customWidth="1"/>
    <col min="3848" max="3848" width="27.7109375" style="50" customWidth="1"/>
    <col min="3849" max="3857" width="25.7109375" style="50" customWidth="1"/>
    <col min="3858" max="3858" width="29.7109375" style="50" customWidth="1"/>
    <col min="3859" max="3859" width="25.7109375" style="50" customWidth="1"/>
    <col min="3860" max="3860" width="44.7109375" style="50" customWidth="1"/>
    <col min="3861" max="3861" width="25.7109375" style="50" customWidth="1"/>
    <col min="3862" max="3862" width="32.140625" style="50" customWidth="1"/>
    <col min="3863" max="3863" width="38.28515625" style="50" customWidth="1"/>
    <col min="3864" max="3864" width="32.7109375" style="50" customWidth="1"/>
    <col min="3865" max="3865" width="61" style="50" customWidth="1"/>
    <col min="3866" max="3866" width="25.7109375" style="50" customWidth="1"/>
    <col min="3867" max="3867" width="206.85546875" style="50" customWidth="1"/>
    <col min="3868" max="3868" width="71.140625" style="50" customWidth="1"/>
    <col min="3869" max="3869" width="13.5703125" style="50" customWidth="1"/>
    <col min="3870" max="4096" width="9.140625" style="50"/>
    <col min="4097" max="4097" width="155.28515625" style="50" customWidth="1"/>
    <col min="4098" max="4099" width="29.85546875" style="50" customWidth="1"/>
    <col min="4100" max="4100" width="26.7109375" style="50" customWidth="1"/>
    <col min="4101" max="4101" width="26.5703125" style="50" customWidth="1"/>
    <col min="4102" max="4102" width="25.7109375" style="50" customWidth="1"/>
    <col min="4103" max="4103" width="28.5703125" style="50" customWidth="1"/>
    <col min="4104" max="4104" width="27.7109375" style="50" customWidth="1"/>
    <col min="4105" max="4113" width="25.7109375" style="50" customWidth="1"/>
    <col min="4114" max="4114" width="29.7109375" style="50" customWidth="1"/>
    <col min="4115" max="4115" width="25.7109375" style="50" customWidth="1"/>
    <col min="4116" max="4116" width="44.7109375" style="50" customWidth="1"/>
    <col min="4117" max="4117" width="25.7109375" style="50" customWidth="1"/>
    <col min="4118" max="4118" width="32.140625" style="50" customWidth="1"/>
    <col min="4119" max="4119" width="38.28515625" style="50" customWidth="1"/>
    <col min="4120" max="4120" width="32.7109375" style="50" customWidth="1"/>
    <col min="4121" max="4121" width="61" style="50" customWidth="1"/>
    <col min="4122" max="4122" width="25.7109375" style="50" customWidth="1"/>
    <col min="4123" max="4123" width="206.85546875" style="50" customWidth="1"/>
    <col min="4124" max="4124" width="71.140625" style="50" customWidth="1"/>
    <col min="4125" max="4125" width="13.5703125" style="50" customWidth="1"/>
    <col min="4126" max="4352" width="9.140625" style="50"/>
    <col min="4353" max="4353" width="155.28515625" style="50" customWidth="1"/>
    <col min="4354" max="4355" width="29.85546875" style="50" customWidth="1"/>
    <col min="4356" max="4356" width="26.7109375" style="50" customWidth="1"/>
    <col min="4357" max="4357" width="26.5703125" style="50" customWidth="1"/>
    <col min="4358" max="4358" width="25.7109375" style="50" customWidth="1"/>
    <col min="4359" max="4359" width="28.5703125" style="50" customWidth="1"/>
    <col min="4360" max="4360" width="27.7109375" style="50" customWidth="1"/>
    <col min="4361" max="4369" width="25.7109375" style="50" customWidth="1"/>
    <col min="4370" max="4370" width="29.7109375" style="50" customWidth="1"/>
    <col min="4371" max="4371" width="25.7109375" style="50" customWidth="1"/>
    <col min="4372" max="4372" width="44.7109375" style="50" customWidth="1"/>
    <col min="4373" max="4373" width="25.7109375" style="50" customWidth="1"/>
    <col min="4374" max="4374" width="32.140625" style="50" customWidth="1"/>
    <col min="4375" max="4375" width="38.28515625" style="50" customWidth="1"/>
    <col min="4376" max="4376" width="32.7109375" style="50" customWidth="1"/>
    <col min="4377" max="4377" width="61" style="50" customWidth="1"/>
    <col min="4378" max="4378" width="25.7109375" style="50" customWidth="1"/>
    <col min="4379" max="4379" width="206.85546875" style="50" customWidth="1"/>
    <col min="4380" max="4380" width="71.140625" style="50" customWidth="1"/>
    <col min="4381" max="4381" width="13.5703125" style="50" customWidth="1"/>
    <col min="4382" max="4608" width="9.140625" style="50"/>
    <col min="4609" max="4609" width="155.28515625" style="50" customWidth="1"/>
    <col min="4610" max="4611" width="29.85546875" style="50" customWidth="1"/>
    <col min="4612" max="4612" width="26.7109375" style="50" customWidth="1"/>
    <col min="4613" max="4613" width="26.5703125" style="50" customWidth="1"/>
    <col min="4614" max="4614" width="25.7109375" style="50" customWidth="1"/>
    <col min="4615" max="4615" width="28.5703125" style="50" customWidth="1"/>
    <col min="4616" max="4616" width="27.7109375" style="50" customWidth="1"/>
    <col min="4617" max="4625" width="25.7109375" style="50" customWidth="1"/>
    <col min="4626" max="4626" width="29.7109375" style="50" customWidth="1"/>
    <col min="4627" max="4627" width="25.7109375" style="50" customWidth="1"/>
    <col min="4628" max="4628" width="44.7109375" style="50" customWidth="1"/>
    <col min="4629" max="4629" width="25.7109375" style="50" customWidth="1"/>
    <col min="4630" max="4630" width="32.140625" style="50" customWidth="1"/>
    <col min="4631" max="4631" width="38.28515625" style="50" customWidth="1"/>
    <col min="4632" max="4632" width="32.7109375" style="50" customWidth="1"/>
    <col min="4633" max="4633" width="61" style="50" customWidth="1"/>
    <col min="4634" max="4634" width="25.7109375" style="50" customWidth="1"/>
    <col min="4635" max="4635" width="206.85546875" style="50" customWidth="1"/>
    <col min="4636" max="4636" width="71.140625" style="50" customWidth="1"/>
    <col min="4637" max="4637" width="13.5703125" style="50" customWidth="1"/>
    <col min="4638" max="4864" width="9.140625" style="50"/>
    <col min="4865" max="4865" width="155.28515625" style="50" customWidth="1"/>
    <col min="4866" max="4867" width="29.85546875" style="50" customWidth="1"/>
    <col min="4868" max="4868" width="26.7109375" style="50" customWidth="1"/>
    <col min="4869" max="4869" width="26.5703125" style="50" customWidth="1"/>
    <col min="4870" max="4870" width="25.7109375" style="50" customWidth="1"/>
    <col min="4871" max="4871" width="28.5703125" style="50" customWidth="1"/>
    <col min="4872" max="4872" width="27.7109375" style="50" customWidth="1"/>
    <col min="4873" max="4881" width="25.7109375" style="50" customWidth="1"/>
    <col min="4882" max="4882" width="29.7109375" style="50" customWidth="1"/>
    <col min="4883" max="4883" width="25.7109375" style="50" customWidth="1"/>
    <col min="4884" max="4884" width="44.7109375" style="50" customWidth="1"/>
    <col min="4885" max="4885" width="25.7109375" style="50" customWidth="1"/>
    <col min="4886" max="4886" width="32.140625" style="50" customWidth="1"/>
    <col min="4887" max="4887" width="38.28515625" style="50" customWidth="1"/>
    <col min="4888" max="4888" width="32.7109375" style="50" customWidth="1"/>
    <col min="4889" max="4889" width="61" style="50" customWidth="1"/>
    <col min="4890" max="4890" width="25.7109375" style="50" customWidth="1"/>
    <col min="4891" max="4891" width="206.85546875" style="50" customWidth="1"/>
    <col min="4892" max="4892" width="71.140625" style="50" customWidth="1"/>
    <col min="4893" max="4893" width="13.5703125" style="50" customWidth="1"/>
    <col min="4894" max="5120" width="9.140625" style="50"/>
    <col min="5121" max="5121" width="155.28515625" style="50" customWidth="1"/>
    <col min="5122" max="5123" width="29.85546875" style="50" customWidth="1"/>
    <col min="5124" max="5124" width="26.7109375" style="50" customWidth="1"/>
    <col min="5125" max="5125" width="26.5703125" style="50" customWidth="1"/>
    <col min="5126" max="5126" width="25.7109375" style="50" customWidth="1"/>
    <col min="5127" max="5127" width="28.5703125" style="50" customWidth="1"/>
    <col min="5128" max="5128" width="27.7109375" style="50" customWidth="1"/>
    <col min="5129" max="5137" width="25.7109375" style="50" customWidth="1"/>
    <col min="5138" max="5138" width="29.7109375" style="50" customWidth="1"/>
    <col min="5139" max="5139" width="25.7109375" style="50" customWidth="1"/>
    <col min="5140" max="5140" width="44.7109375" style="50" customWidth="1"/>
    <col min="5141" max="5141" width="25.7109375" style="50" customWidth="1"/>
    <col min="5142" max="5142" width="32.140625" style="50" customWidth="1"/>
    <col min="5143" max="5143" width="38.28515625" style="50" customWidth="1"/>
    <col min="5144" max="5144" width="32.7109375" style="50" customWidth="1"/>
    <col min="5145" max="5145" width="61" style="50" customWidth="1"/>
    <col min="5146" max="5146" width="25.7109375" style="50" customWidth="1"/>
    <col min="5147" max="5147" width="206.85546875" style="50" customWidth="1"/>
    <col min="5148" max="5148" width="71.140625" style="50" customWidth="1"/>
    <col min="5149" max="5149" width="13.5703125" style="50" customWidth="1"/>
    <col min="5150" max="5376" width="9.140625" style="50"/>
    <col min="5377" max="5377" width="155.28515625" style="50" customWidth="1"/>
    <col min="5378" max="5379" width="29.85546875" style="50" customWidth="1"/>
    <col min="5380" max="5380" width="26.7109375" style="50" customWidth="1"/>
    <col min="5381" max="5381" width="26.5703125" style="50" customWidth="1"/>
    <col min="5382" max="5382" width="25.7109375" style="50" customWidth="1"/>
    <col min="5383" max="5383" width="28.5703125" style="50" customWidth="1"/>
    <col min="5384" max="5384" width="27.7109375" style="50" customWidth="1"/>
    <col min="5385" max="5393" width="25.7109375" style="50" customWidth="1"/>
    <col min="5394" max="5394" width="29.7109375" style="50" customWidth="1"/>
    <col min="5395" max="5395" width="25.7109375" style="50" customWidth="1"/>
    <col min="5396" max="5396" width="44.7109375" style="50" customWidth="1"/>
    <col min="5397" max="5397" width="25.7109375" style="50" customWidth="1"/>
    <col min="5398" max="5398" width="32.140625" style="50" customWidth="1"/>
    <col min="5399" max="5399" width="38.28515625" style="50" customWidth="1"/>
    <col min="5400" max="5400" width="32.7109375" style="50" customWidth="1"/>
    <col min="5401" max="5401" width="61" style="50" customWidth="1"/>
    <col min="5402" max="5402" width="25.7109375" style="50" customWidth="1"/>
    <col min="5403" max="5403" width="206.85546875" style="50" customWidth="1"/>
    <col min="5404" max="5404" width="71.140625" style="50" customWidth="1"/>
    <col min="5405" max="5405" width="13.5703125" style="50" customWidth="1"/>
    <col min="5406" max="5632" width="9.140625" style="50"/>
    <col min="5633" max="5633" width="155.28515625" style="50" customWidth="1"/>
    <col min="5634" max="5635" width="29.85546875" style="50" customWidth="1"/>
    <col min="5636" max="5636" width="26.7109375" style="50" customWidth="1"/>
    <col min="5637" max="5637" width="26.5703125" style="50" customWidth="1"/>
    <col min="5638" max="5638" width="25.7109375" style="50" customWidth="1"/>
    <col min="5639" max="5639" width="28.5703125" style="50" customWidth="1"/>
    <col min="5640" max="5640" width="27.7109375" style="50" customWidth="1"/>
    <col min="5641" max="5649" width="25.7109375" style="50" customWidth="1"/>
    <col min="5650" max="5650" width="29.7109375" style="50" customWidth="1"/>
    <col min="5651" max="5651" width="25.7109375" style="50" customWidth="1"/>
    <col min="5652" max="5652" width="44.7109375" style="50" customWidth="1"/>
    <col min="5653" max="5653" width="25.7109375" style="50" customWidth="1"/>
    <col min="5654" max="5654" width="32.140625" style="50" customWidth="1"/>
    <col min="5655" max="5655" width="38.28515625" style="50" customWidth="1"/>
    <col min="5656" max="5656" width="32.7109375" style="50" customWidth="1"/>
    <col min="5657" max="5657" width="61" style="50" customWidth="1"/>
    <col min="5658" max="5658" width="25.7109375" style="50" customWidth="1"/>
    <col min="5659" max="5659" width="206.85546875" style="50" customWidth="1"/>
    <col min="5660" max="5660" width="71.140625" style="50" customWidth="1"/>
    <col min="5661" max="5661" width="13.5703125" style="50" customWidth="1"/>
    <col min="5662" max="5888" width="9.140625" style="50"/>
    <col min="5889" max="5889" width="155.28515625" style="50" customWidth="1"/>
    <col min="5890" max="5891" width="29.85546875" style="50" customWidth="1"/>
    <col min="5892" max="5892" width="26.7109375" style="50" customWidth="1"/>
    <col min="5893" max="5893" width="26.5703125" style="50" customWidth="1"/>
    <col min="5894" max="5894" width="25.7109375" style="50" customWidth="1"/>
    <col min="5895" max="5895" width="28.5703125" style="50" customWidth="1"/>
    <col min="5896" max="5896" width="27.7109375" style="50" customWidth="1"/>
    <col min="5897" max="5905" width="25.7109375" style="50" customWidth="1"/>
    <col min="5906" max="5906" width="29.7109375" style="50" customWidth="1"/>
    <col min="5907" max="5907" width="25.7109375" style="50" customWidth="1"/>
    <col min="5908" max="5908" width="44.7109375" style="50" customWidth="1"/>
    <col min="5909" max="5909" width="25.7109375" style="50" customWidth="1"/>
    <col min="5910" max="5910" width="32.140625" style="50" customWidth="1"/>
    <col min="5911" max="5911" width="38.28515625" style="50" customWidth="1"/>
    <col min="5912" max="5912" width="32.7109375" style="50" customWidth="1"/>
    <col min="5913" max="5913" width="61" style="50" customWidth="1"/>
    <col min="5914" max="5914" width="25.7109375" style="50" customWidth="1"/>
    <col min="5915" max="5915" width="206.85546875" style="50" customWidth="1"/>
    <col min="5916" max="5916" width="71.140625" style="50" customWidth="1"/>
    <col min="5917" max="5917" width="13.5703125" style="50" customWidth="1"/>
    <col min="5918" max="6144" width="9.140625" style="50"/>
    <col min="6145" max="6145" width="155.28515625" style="50" customWidth="1"/>
    <col min="6146" max="6147" width="29.85546875" style="50" customWidth="1"/>
    <col min="6148" max="6148" width="26.7109375" style="50" customWidth="1"/>
    <col min="6149" max="6149" width="26.5703125" style="50" customWidth="1"/>
    <col min="6150" max="6150" width="25.7109375" style="50" customWidth="1"/>
    <col min="6151" max="6151" width="28.5703125" style="50" customWidth="1"/>
    <col min="6152" max="6152" width="27.7109375" style="50" customWidth="1"/>
    <col min="6153" max="6161" width="25.7109375" style="50" customWidth="1"/>
    <col min="6162" max="6162" width="29.7109375" style="50" customWidth="1"/>
    <col min="6163" max="6163" width="25.7109375" style="50" customWidth="1"/>
    <col min="6164" max="6164" width="44.7109375" style="50" customWidth="1"/>
    <col min="6165" max="6165" width="25.7109375" style="50" customWidth="1"/>
    <col min="6166" max="6166" width="32.140625" style="50" customWidth="1"/>
    <col min="6167" max="6167" width="38.28515625" style="50" customWidth="1"/>
    <col min="6168" max="6168" width="32.7109375" style="50" customWidth="1"/>
    <col min="6169" max="6169" width="61" style="50" customWidth="1"/>
    <col min="6170" max="6170" width="25.7109375" style="50" customWidth="1"/>
    <col min="6171" max="6171" width="206.85546875" style="50" customWidth="1"/>
    <col min="6172" max="6172" width="71.140625" style="50" customWidth="1"/>
    <col min="6173" max="6173" width="13.5703125" style="50" customWidth="1"/>
    <col min="6174" max="6400" width="9.140625" style="50"/>
    <col min="6401" max="6401" width="155.28515625" style="50" customWidth="1"/>
    <col min="6402" max="6403" width="29.85546875" style="50" customWidth="1"/>
    <col min="6404" max="6404" width="26.7109375" style="50" customWidth="1"/>
    <col min="6405" max="6405" width="26.5703125" style="50" customWidth="1"/>
    <col min="6406" max="6406" width="25.7109375" style="50" customWidth="1"/>
    <col min="6407" max="6407" width="28.5703125" style="50" customWidth="1"/>
    <col min="6408" max="6408" width="27.7109375" style="50" customWidth="1"/>
    <col min="6409" max="6417" width="25.7109375" style="50" customWidth="1"/>
    <col min="6418" max="6418" width="29.7109375" style="50" customWidth="1"/>
    <col min="6419" max="6419" width="25.7109375" style="50" customWidth="1"/>
    <col min="6420" max="6420" width="44.7109375" style="50" customWidth="1"/>
    <col min="6421" max="6421" width="25.7109375" style="50" customWidth="1"/>
    <col min="6422" max="6422" width="32.140625" style="50" customWidth="1"/>
    <col min="6423" max="6423" width="38.28515625" style="50" customWidth="1"/>
    <col min="6424" max="6424" width="32.7109375" style="50" customWidth="1"/>
    <col min="6425" max="6425" width="61" style="50" customWidth="1"/>
    <col min="6426" max="6426" width="25.7109375" style="50" customWidth="1"/>
    <col min="6427" max="6427" width="206.85546875" style="50" customWidth="1"/>
    <col min="6428" max="6428" width="71.140625" style="50" customWidth="1"/>
    <col min="6429" max="6429" width="13.5703125" style="50" customWidth="1"/>
    <col min="6430" max="6656" width="9.140625" style="50"/>
    <col min="6657" max="6657" width="155.28515625" style="50" customWidth="1"/>
    <col min="6658" max="6659" width="29.85546875" style="50" customWidth="1"/>
    <col min="6660" max="6660" width="26.7109375" style="50" customWidth="1"/>
    <col min="6661" max="6661" width="26.5703125" style="50" customWidth="1"/>
    <col min="6662" max="6662" width="25.7109375" style="50" customWidth="1"/>
    <col min="6663" max="6663" width="28.5703125" style="50" customWidth="1"/>
    <col min="6664" max="6664" width="27.7109375" style="50" customWidth="1"/>
    <col min="6665" max="6673" width="25.7109375" style="50" customWidth="1"/>
    <col min="6674" max="6674" width="29.7109375" style="50" customWidth="1"/>
    <col min="6675" max="6675" width="25.7109375" style="50" customWidth="1"/>
    <col min="6676" max="6676" width="44.7109375" style="50" customWidth="1"/>
    <col min="6677" max="6677" width="25.7109375" style="50" customWidth="1"/>
    <col min="6678" max="6678" width="32.140625" style="50" customWidth="1"/>
    <col min="6679" max="6679" width="38.28515625" style="50" customWidth="1"/>
    <col min="6680" max="6680" width="32.7109375" style="50" customWidth="1"/>
    <col min="6681" max="6681" width="61" style="50" customWidth="1"/>
    <col min="6682" max="6682" width="25.7109375" style="50" customWidth="1"/>
    <col min="6683" max="6683" width="206.85546875" style="50" customWidth="1"/>
    <col min="6684" max="6684" width="71.140625" style="50" customWidth="1"/>
    <col min="6685" max="6685" width="13.5703125" style="50" customWidth="1"/>
    <col min="6686" max="6912" width="9.140625" style="50"/>
    <col min="6913" max="6913" width="155.28515625" style="50" customWidth="1"/>
    <col min="6914" max="6915" width="29.85546875" style="50" customWidth="1"/>
    <col min="6916" max="6916" width="26.7109375" style="50" customWidth="1"/>
    <col min="6917" max="6917" width="26.5703125" style="50" customWidth="1"/>
    <col min="6918" max="6918" width="25.7109375" style="50" customWidth="1"/>
    <col min="6919" max="6919" width="28.5703125" style="50" customWidth="1"/>
    <col min="6920" max="6920" width="27.7109375" style="50" customWidth="1"/>
    <col min="6921" max="6929" width="25.7109375" style="50" customWidth="1"/>
    <col min="6930" max="6930" width="29.7109375" style="50" customWidth="1"/>
    <col min="6931" max="6931" width="25.7109375" style="50" customWidth="1"/>
    <col min="6932" max="6932" width="44.7109375" style="50" customWidth="1"/>
    <col min="6933" max="6933" width="25.7109375" style="50" customWidth="1"/>
    <col min="6934" max="6934" width="32.140625" style="50" customWidth="1"/>
    <col min="6935" max="6935" width="38.28515625" style="50" customWidth="1"/>
    <col min="6936" max="6936" width="32.7109375" style="50" customWidth="1"/>
    <col min="6937" max="6937" width="61" style="50" customWidth="1"/>
    <col min="6938" max="6938" width="25.7109375" style="50" customWidth="1"/>
    <col min="6939" max="6939" width="206.85546875" style="50" customWidth="1"/>
    <col min="6940" max="6940" width="71.140625" style="50" customWidth="1"/>
    <col min="6941" max="6941" width="13.5703125" style="50" customWidth="1"/>
    <col min="6942" max="7168" width="9.140625" style="50"/>
    <col min="7169" max="7169" width="155.28515625" style="50" customWidth="1"/>
    <col min="7170" max="7171" width="29.85546875" style="50" customWidth="1"/>
    <col min="7172" max="7172" width="26.7109375" style="50" customWidth="1"/>
    <col min="7173" max="7173" width="26.5703125" style="50" customWidth="1"/>
    <col min="7174" max="7174" width="25.7109375" style="50" customWidth="1"/>
    <col min="7175" max="7175" width="28.5703125" style="50" customWidth="1"/>
    <col min="7176" max="7176" width="27.7109375" style="50" customWidth="1"/>
    <col min="7177" max="7185" width="25.7109375" style="50" customWidth="1"/>
    <col min="7186" max="7186" width="29.7109375" style="50" customWidth="1"/>
    <col min="7187" max="7187" width="25.7109375" style="50" customWidth="1"/>
    <col min="7188" max="7188" width="44.7109375" style="50" customWidth="1"/>
    <col min="7189" max="7189" width="25.7109375" style="50" customWidth="1"/>
    <col min="7190" max="7190" width="32.140625" style="50" customWidth="1"/>
    <col min="7191" max="7191" width="38.28515625" style="50" customWidth="1"/>
    <col min="7192" max="7192" width="32.7109375" style="50" customWidth="1"/>
    <col min="7193" max="7193" width="61" style="50" customWidth="1"/>
    <col min="7194" max="7194" width="25.7109375" style="50" customWidth="1"/>
    <col min="7195" max="7195" width="206.85546875" style="50" customWidth="1"/>
    <col min="7196" max="7196" width="71.140625" style="50" customWidth="1"/>
    <col min="7197" max="7197" width="13.5703125" style="50" customWidth="1"/>
    <col min="7198" max="7424" width="9.140625" style="50"/>
    <col min="7425" max="7425" width="155.28515625" style="50" customWidth="1"/>
    <col min="7426" max="7427" width="29.85546875" style="50" customWidth="1"/>
    <col min="7428" max="7428" width="26.7109375" style="50" customWidth="1"/>
    <col min="7429" max="7429" width="26.5703125" style="50" customWidth="1"/>
    <col min="7430" max="7430" width="25.7109375" style="50" customWidth="1"/>
    <col min="7431" max="7431" width="28.5703125" style="50" customWidth="1"/>
    <col min="7432" max="7432" width="27.7109375" style="50" customWidth="1"/>
    <col min="7433" max="7441" width="25.7109375" style="50" customWidth="1"/>
    <col min="7442" max="7442" width="29.7109375" style="50" customWidth="1"/>
    <col min="7443" max="7443" width="25.7109375" style="50" customWidth="1"/>
    <col min="7444" max="7444" width="44.7109375" style="50" customWidth="1"/>
    <col min="7445" max="7445" width="25.7109375" style="50" customWidth="1"/>
    <col min="7446" max="7446" width="32.140625" style="50" customWidth="1"/>
    <col min="7447" max="7447" width="38.28515625" style="50" customWidth="1"/>
    <col min="7448" max="7448" width="32.7109375" style="50" customWidth="1"/>
    <col min="7449" max="7449" width="61" style="50" customWidth="1"/>
    <col min="7450" max="7450" width="25.7109375" style="50" customWidth="1"/>
    <col min="7451" max="7451" width="206.85546875" style="50" customWidth="1"/>
    <col min="7452" max="7452" width="71.140625" style="50" customWidth="1"/>
    <col min="7453" max="7453" width="13.5703125" style="50" customWidth="1"/>
    <col min="7454" max="7680" width="9.140625" style="50"/>
    <col min="7681" max="7681" width="155.28515625" style="50" customWidth="1"/>
    <col min="7682" max="7683" width="29.85546875" style="50" customWidth="1"/>
    <col min="7684" max="7684" width="26.7109375" style="50" customWidth="1"/>
    <col min="7685" max="7685" width="26.5703125" style="50" customWidth="1"/>
    <col min="7686" max="7686" width="25.7109375" style="50" customWidth="1"/>
    <col min="7687" max="7687" width="28.5703125" style="50" customWidth="1"/>
    <col min="7688" max="7688" width="27.7109375" style="50" customWidth="1"/>
    <col min="7689" max="7697" width="25.7109375" style="50" customWidth="1"/>
    <col min="7698" max="7698" width="29.7109375" style="50" customWidth="1"/>
    <col min="7699" max="7699" width="25.7109375" style="50" customWidth="1"/>
    <col min="7700" max="7700" width="44.7109375" style="50" customWidth="1"/>
    <col min="7701" max="7701" width="25.7109375" style="50" customWidth="1"/>
    <col min="7702" max="7702" width="32.140625" style="50" customWidth="1"/>
    <col min="7703" max="7703" width="38.28515625" style="50" customWidth="1"/>
    <col min="7704" max="7704" width="32.7109375" style="50" customWidth="1"/>
    <col min="7705" max="7705" width="61" style="50" customWidth="1"/>
    <col min="7706" max="7706" width="25.7109375" style="50" customWidth="1"/>
    <col min="7707" max="7707" width="206.85546875" style="50" customWidth="1"/>
    <col min="7708" max="7708" width="71.140625" style="50" customWidth="1"/>
    <col min="7709" max="7709" width="13.5703125" style="50" customWidth="1"/>
    <col min="7710" max="7936" width="9.140625" style="50"/>
    <col min="7937" max="7937" width="155.28515625" style="50" customWidth="1"/>
    <col min="7938" max="7939" width="29.85546875" style="50" customWidth="1"/>
    <col min="7940" max="7940" width="26.7109375" style="50" customWidth="1"/>
    <col min="7941" max="7941" width="26.5703125" style="50" customWidth="1"/>
    <col min="7942" max="7942" width="25.7109375" style="50" customWidth="1"/>
    <col min="7943" max="7943" width="28.5703125" style="50" customWidth="1"/>
    <col min="7944" max="7944" width="27.7109375" style="50" customWidth="1"/>
    <col min="7945" max="7953" width="25.7109375" style="50" customWidth="1"/>
    <col min="7954" max="7954" width="29.7109375" style="50" customWidth="1"/>
    <col min="7955" max="7955" width="25.7109375" style="50" customWidth="1"/>
    <col min="7956" max="7956" width="44.7109375" style="50" customWidth="1"/>
    <col min="7957" max="7957" width="25.7109375" style="50" customWidth="1"/>
    <col min="7958" max="7958" width="32.140625" style="50" customWidth="1"/>
    <col min="7959" max="7959" width="38.28515625" style="50" customWidth="1"/>
    <col min="7960" max="7960" width="32.7109375" style="50" customWidth="1"/>
    <col min="7961" max="7961" width="61" style="50" customWidth="1"/>
    <col min="7962" max="7962" width="25.7109375" style="50" customWidth="1"/>
    <col min="7963" max="7963" width="206.85546875" style="50" customWidth="1"/>
    <col min="7964" max="7964" width="71.140625" style="50" customWidth="1"/>
    <col min="7965" max="7965" width="13.5703125" style="50" customWidth="1"/>
    <col min="7966" max="8192" width="9.140625" style="50"/>
    <col min="8193" max="8193" width="155.28515625" style="50" customWidth="1"/>
    <col min="8194" max="8195" width="29.85546875" style="50" customWidth="1"/>
    <col min="8196" max="8196" width="26.7109375" style="50" customWidth="1"/>
    <col min="8197" max="8197" width="26.5703125" style="50" customWidth="1"/>
    <col min="8198" max="8198" width="25.7109375" style="50" customWidth="1"/>
    <col min="8199" max="8199" width="28.5703125" style="50" customWidth="1"/>
    <col min="8200" max="8200" width="27.7109375" style="50" customWidth="1"/>
    <col min="8201" max="8209" width="25.7109375" style="50" customWidth="1"/>
    <col min="8210" max="8210" width="29.7109375" style="50" customWidth="1"/>
    <col min="8211" max="8211" width="25.7109375" style="50" customWidth="1"/>
    <col min="8212" max="8212" width="44.7109375" style="50" customWidth="1"/>
    <col min="8213" max="8213" width="25.7109375" style="50" customWidth="1"/>
    <col min="8214" max="8214" width="32.140625" style="50" customWidth="1"/>
    <col min="8215" max="8215" width="38.28515625" style="50" customWidth="1"/>
    <col min="8216" max="8216" width="32.7109375" style="50" customWidth="1"/>
    <col min="8217" max="8217" width="61" style="50" customWidth="1"/>
    <col min="8218" max="8218" width="25.7109375" style="50" customWidth="1"/>
    <col min="8219" max="8219" width="206.85546875" style="50" customWidth="1"/>
    <col min="8220" max="8220" width="71.140625" style="50" customWidth="1"/>
    <col min="8221" max="8221" width="13.5703125" style="50" customWidth="1"/>
    <col min="8222" max="8448" width="9.140625" style="50"/>
    <col min="8449" max="8449" width="155.28515625" style="50" customWidth="1"/>
    <col min="8450" max="8451" width="29.85546875" style="50" customWidth="1"/>
    <col min="8452" max="8452" width="26.7109375" style="50" customWidth="1"/>
    <col min="8453" max="8453" width="26.5703125" style="50" customWidth="1"/>
    <col min="8454" max="8454" width="25.7109375" style="50" customWidth="1"/>
    <col min="8455" max="8455" width="28.5703125" style="50" customWidth="1"/>
    <col min="8456" max="8456" width="27.7109375" style="50" customWidth="1"/>
    <col min="8457" max="8465" width="25.7109375" style="50" customWidth="1"/>
    <col min="8466" max="8466" width="29.7109375" style="50" customWidth="1"/>
    <col min="8467" max="8467" width="25.7109375" style="50" customWidth="1"/>
    <col min="8468" max="8468" width="44.7109375" style="50" customWidth="1"/>
    <col min="8469" max="8469" width="25.7109375" style="50" customWidth="1"/>
    <col min="8470" max="8470" width="32.140625" style="50" customWidth="1"/>
    <col min="8471" max="8471" width="38.28515625" style="50" customWidth="1"/>
    <col min="8472" max="8472" width="32.7109375" style="50" customWidth="1"/>
    <col min="8473" max="8473" width="61" style="50" customWidth="1"/>
    <col min="8474" max="8474" width="25.7109375" style="50" customWidth="1"/>
    <col min="8475" max="8475" width="206.85546875" style="50" customWidth="1"/>
    <col min="8476" max="8476" width="71.140625" style="50" customWidth="1"/>
    <col min="8477" max="8477" width="13.5703125" style="50" customWidth="1"/>
    <col min="8478" max="8704" width="9.140625" style="50"/>
    <col min="8705" max="8705" width="155.28515625" style="50" customWidth="1"/>
    <col min="8706" max="8707" width="29.85546875" style="50" customWidth="1"/>
    <col min="8708" max="8708" width="26.7109375" style="50" customWidth="1"/>
    <col min="8709" max="8709" width="26.5703125" style="50" customWidth="1"/>
    <col min="8710" max="8710" width="25.7109375" style="50" customWidth="1"/>
    <col min="8711" max="8711" width="28.5703125" style="50" customWidth="1"/>
    <col min="8712" max="8712" width="27.7109375" style="50" customWidth="1"/>
    <col min="8713" max="8721" width="25.7109375" style="50" customWidth="1"/>
    <col min="8722" max="8722" width="29.7109375" style="50" customWidth="1"/>
    <col min="8723" max="8723" width="25.7109375" style="50" customWidth="1"/>
    <col min="8724" max="8724" width="44.7109375" style="50" customWidth="1"/>
    <col min="8725" max="8725" width="25.7109375" style="50" customWidth="1"/>
    <col min="8726" max="8726" width="32.140625" style="50" customWidth="1"/>
    <col min="8727" max="8727" width="38.28515625" style="50" customWidth="1"/>
    <col min="8728" max="8728" width="32.7109375" style="50" customWidth="1"/>
    <col min="8729" max="8729" width="61" style="50" customWidth="1"/>
    <col min="8730" max="8730" width="25.7109375" style="50" customWidth="1"/>
    <col min="8731" max="8731" width="206.85546875" style="50" customWidth="1"/>
    <col min="8732" max="8732" width="71.140625" style="50" customWidth="1"/>
    <col min="8733" max="8733" width="13.5703125" style="50" customWidth="1"/>
    <col min="8734" max="8960" width="9.140625" style="50"/>
    <col min="8961" max="8961" width="155.28515625" style="50" customWidth="1"/>
    <col min="8962" max="8963" width="29.85546875" style="50" customWidth="1"/>
    <col min="8964" max="8964" width="26.7109375" style="50" customWidth="1"/>
    <col min="8965" max="8965" width="26.5703125" style="50" customWidth="1"/>
    <col min="8966" max="8966" width="25.7109375" style="50" customWidth="1"/>
    <col min="8967" max="8967" width="28.5703125" style="50" customWidth="1"/>
    <col min="8968" max="8968" width="27.7109375" style="50" customWidth="1"/>
    <col min="8969" max="8977" width="25.7109375" style="50" customWidth="1"/>
    <col min="8978" max="8978" width="29.7109375" style="50" customWidth="1"/>
    <col min="8979" max="8979" width="25.7109375" style="50" customWidth="1"/>
    <col min="8980" max="8980" width="44.7109375" style="50" customWidth="1"/>
    <col min="8981" max="8981" width="25.7109375" style="50" customWidth="1"/>
    <col min="8982" max="8982" width="32.140625" style="50" customWidth="1"/>
    <col min="8983" max="8983" width="38.28515625" style="50" customWidth="1"/>
    <col min="8984" max="8984" width="32.7109375" style="50" customWidth="1"/>
    <col min="8985" max="8985" width="61" style="50" customWidth="1"/>
    <col min="8986" max="8986" width="25.7109375" style="50" customWidth="1"/>
    <col min="8987" max="8987" width="206.85546875" style="50" customWidth="1"/>
    <col min="8988" max="8988" width="71.140625" style="50" customWidth="1"/>
    <col min="8989" max="8989" width="13.5703125" style="50" customWidth="1"/>
    <col min="8990" max="9216" width="9.140625" style="50"/>
    <col min="9217" max="9217" width="155.28515625" style="50" customWidth="1"/>
    <col min="9218" max="9219" width="29.85546875" style="50" customWidth="1"/>
    <col min="9220" max="9220" width="26.7109375" style="50" customWidth="1"/>
    <col min="9221" max="9221" width="26.5703125" style="50" customWidth="1"/>
    <col min="9222" max="9222" width="25.7109375" style="50" customWidth="1"/>
    <col min="9223" max="9223" width="28.5703125" style="50" customWidth="1"/>
    <col min="9224" max="9224" width="27.7109375" style="50" customWidth="1"/>
    <col min="9225" max="9233" width="25.7109375" style="50" customWidth="1"/>
    <col min="9234" max="9234" width="29.7109375" style="50" customWidth="1"/>
    <col min="9235" max="9235" width="25.7109375" style="50" customWidth="1"/>
    <col min="9236" max="9236" width="44.7109375" style="50" customWidth="1"/>
    <col min="9237" max="9237" width="25.7109375" style="50" customWidth="1"/>
    <col min="9238" max="9238" width="32.140625" style="50" customWidth="1"/>
    <col min="9239" max="9239" width="38.28515625" style="50" customWidth="1"/>
    <col min="9240" max="9240" width="32.7109375" style="50" customWidth="1"/>
    <col min="9241" max="9241" width="61" style="50" customWidth="1"/>
    <col min="9242" max="9242" width="25.7109375" style="50" customWidth="1"/>
    <col min="9243" max="9243" width="206.85546875" style="50" customWidth="1"/>
    <col min="9244" max="9244" width="71.140625" style="50" customWidth="1"/>
    <col min="9245" max="9245" width="13.5703125" style="50" customWidth="1"/>
    <col min="9246" max="9472" width="9.140625" style="50"/>
    <col min="9473" max="9473" width="155.28515625" style="50" customWidth="1"/>
    <col min="9474" max="9475" width="29.85546875" style="50" customWidth="1"/>
    <col min="9476" max="9476" width="26.7109375" style="50" customWidth="1"/>
    <col min="9477" max="9477" width="26.5703125" style="50" customWidth="1"/>
    <col min="9478" max="9478" width="25.7109375" style="50" customWidth="1"/>
    <col min="9479" max="9479" width="28.5703125" style="50" customWidth="1"/>
    <col min="9480" max="9480" width="27.7109375" style="50" customWidth="1"/>
    <col min="9481" max="9489" width="25.7109375" style="50" customWidth="1"/>
    <col min="9490" max="9490" width="29.7109375" style="50" customWidth="1"/>
    <col min="9491" max="9491" width="25.7109375" style="50" customWidth="1"/>
    <col min="9492" max="9492" width="44.7109375" style="50" customWidth="1"/>
    <col min="9493" max="9493" width="25.7109375" style="50" customWidth="1"/>
    <col min="9494" max="9494" width="32.140625" style="50" customWidth="1"/>
    <col min="9495" max="9495" width="38.28515625" style="50" customWidth="1"/>
    <col min="9496" max="9496" width="32.7109375" style="50" customWidth="1"/>
    <col min="9497" max="9497" width="61" style="50" customWidth="1"/>
    <col min="9498" max="9498" width="25.7109375" style="50" customWidth="1"/>
    <col min="9499" max="9499" width="206.85546875" style="50" customWidth="1"/>
    <col min="9500" max="9500" width="71.140625" style="50" customWidth="1"/>
    <col min="9501" max="9501" width="13.5703125" style="50" customWidth="1"/>
    <col min="9502" max="9728" width="9.140625" style="50"/>
    <col min="9729" max="9729" width="155.28515625" style="50" customWidth="1"/>
    <col min="9730" max="9731" width="29.85546875" style="50" customWidth="1"/>
    <col min="9732" max="9732" width="26.7109375" style="50" customWidth="1"/>
    <col min="9733" max="9733" width="26.5703125" style="50" customWidth="1"/>
    <col min="9734" max="9734" width="25.7109375" style="50" customWidth="1"/>
    <col min="9735" max="9735" width="28.5703125" style="50" customWidth="1"/>
    <col min="9736" max="9736" width="27.7109375" style="50" customWidth="1"/>
    <col min="9737" max="9745" width="25.7109375" style="50" customWidth="1"/>
    <col min="9746" max="9746" width="29.7109375" style="50" customWidth="1"/>
    <col min="9747" max="9747" width="25.7109375" style="50" customWidth="1"/>
    <col min="9748" max="9748" width="44.7109375" style="50" customWidth="1"/>
    <col min="9749" max="9749" width="25.7109375" style="50" customWidth="1"/>
    <col min="9750" max="9750" width="32.140625" style="50" customWidth="1"/>
    <col min="9751" max="9751" width="38.28515625" style="50" customWidth="1"/>
    <col min="9752" max="9752" width="32.7109375" style="50" customWidth="1"/>
    <col min="9753" max="9753" width="61" style="50" customWidth="1"/>
    <col min="9754" max="9754" width="25.7109375" style="50" customWidth="1"/>
    <col min="9755" max="9755" width="206.85546875" style="50" customWidth="1"/>
    <col min="9756" max="9756" width="71.140625" style="50" customWidth="1"/>
    <col min="9757" max="9757" width="13.5703125" style="50" customWidth="1"/>
    <col min="9758" max="9984" width="9.140625" style="50"/>
    <col min="9985" max="9985" width="155.28515625" style="50" customWidth="1"/>
    <col min="9986" max="9987" width="29.85546875" style="50" customWidth="1"/>
    <col min="9988" max="9988" width="26.7109375" style="50" customWidth="1"/>
    <col min="9989" max="9989" width="26.5703125" style="50" customWidth="1"/>
    <col min="9990" max="9990" width="25.7109375" style="50" customWidth="1"/>
    <col min="9991" max="9991" width="28.5703125" style="50" customWidth="1"/>
    <col min="9992" max="9992" width="27.7109375" style="50" customWidth="1"/>
    <col min="9993" max="10001" width="25.7109375" style="50" customWidth="1"/>
    <col min="10002" max="10002" width="29.7109375" style="50" customWidth="1"/>
    <col min="10003" max="10003" width="25.7109375" style="50" customWidth="1"/>
    <col min="10004" max="10004" width="44.7109375" style="50" customWidth="1"/>
    <col min="10005" max="10005" width="25.7109375" style="50" customWidth="1"/>
    <col min="10006" max="10006" width="32.140625" style="50" customWidth="1"/>
    <col min="10007" max="10007" width="38.28515625" style="50" customWidth="1"/>
    <col min="10008" max="10008" width="32.7109375" style="50" customWidth="1"/>
    <col min="10009" max="10009" width="61" style="50" customWidth="1"/>
    <col min="10010" max="10010" width="25.7109375" style="50" customWidth="1"/>
    <col min="10011" max="10011" width="206.85546875" style="50" customWidth="1"/>
    <col min="10012" max="10012" width="71.140625" style="50" customWidth="1"/>
    <col min="10013" max="10013" width="13.5703125" style="50" customWidth="1"/>
    <col min="10014" max="10240" width="9.140625" style="50"/>
    <col min="10241" max="10241" width="155.28515625" style="50" customWidth="1"/>
    <col min="10242" max="10243" width="29.85546875" style="50" customWidth="1"/>
    <col min="10244" max="10244" width="26.7109375" style="50" customWidth="1"/>
    <col min="10245" max="10245" width="26.5703125" style="50" customWidth="1"/>
    <col min="10246" max="10246" width="25.7109375" style="50" customWidth="1"/>
    <col min="10247" max="10247" width="28.5703125" style="50" customWidth="1"/>
    <col min="10248" max="10248" width="27.7109375" style="50" customWidth="1"/>
    <col min="10249" max="10257" width="25.7109375" style="50" customWidth="1"/>
    <col min="10258" max="10258" width="29.7109375" style="50" customWidth="1"/>
    <col min="10259" max="10259" width="25.7109375" style="50" customWidth="1"/>
    <col min="10260" max="10260" width="44.7109375" style="50" customWidth="1"/>
    <col min="10261" max="10261" width="25.7109375" style="50" customWidth="1"/>
    <col min="10262" max="10262" width="32.140625" style="50" customWidth="1"/>
    <col min="10263" max="10263" width="38.28515625" style="50" customWidth="1"/>
    <col min="10264" max="10264" width="32.7109375" style="50" customWidth="1"/>
    <col min="10265" max="10265" width="61" style="50" customWidth="1"/>
    <col min="10266" max="10266" width="25.7109375" style="50" customWidth="1"/>
    <col min="10267" max="10267" width="206.85546875" style="50" customWidth="1"/>
    <col min="10268" max="10268" width="71.140625" style="50" customWidth="1"/>
    <col min="10269" max="10269" width="13.5703125" style="50" customWidth="1"/>
    <col min="10270" max="10496" width="9.140625" style="50"/>
    <col min="10497" max="10497" width="155.28515625" style="50" customWidth="1"/>
    <col min="10498" max="10499" width="29.85546875" style="50" customWidth="1"/>
    <col min="10500" max="10500" width="26.7109375" style="50" customWidth="1"/>
    <col min="10501" max="10501" width="26.5703125" style="50" customWidth="1"/>
    <col min="10502" max="10502" width="25.7109375" style="50" customWidth="1"/>
    <col min="10503" max="10503" width="28.5703125" style="50" customWidth="1"/>
    <col min="10504" max="10504" width="27.7109375" style="50" customWidth="1"/>
    <col min="10505" max="10513" width="25.7109375" style="50" customWidth="1"/>
    <col min="10514" max="10514" width="29.7109375" style="50" customWidth="1"/>
    <col min="10515" max="10515" width="25.7109375" style="50" customWidth="1"/>
    <col min="10516" max="10516" width="44.7109375" style="50" customWidth="1"/>
    <col min="10517" max="10517" width="25.7109375" style="50" customWidth="1"/>
    <col min="10518" max="10518" width="32.140625" style="50" customWidth="1"/>
    <col min="10519" max="10519" width="38.28515625" style="50" customWidth="1"/>
    <col min="10520" max="10520" width="32.7109375" style="50" customWidth="1"/>
    <col min="10521" max="10521" width="61" style="50" customWidth="1"/>
    <col min="10522" max="10522" width="25.7109375" style="50" customWidth="1"/>
    <col min="10523" max="10523" width="206.85546875" style="50" customWidth="1"/>
    <col min="10524" max="10524" width="71.140625" style="50" customWidth="1"/>
    <col min="10525" max="10525" width="13.5703125" style="50" customWidth="1"/>
    <col min="10526" max="10752" width="9.140625" style="50"/>
    <col min="10753" max="10753" width="155.28515625" style="50" customWidth="1"/>
    <col min="10754" max="10755" width="29.85546875" style="50" customWidth="1"/>
    <col min="10756" max="10756" width="26.7109375" style="50" customWidth="1"/>
    <col min="10757" max="10757" width="26.5703125" style="50" customWidth="1"/>
    <col min="10758" max="10758" width="25.7109375" style="50" customWidth="1"/>
    <col min="10759" max="10759" width="28.5703125" style="50" customWidth="1"/>
    <col min="10760" max="10760" width="27.7109375" style="50" customWidth="1"/>
    <col min="10761" max="10769" width="25.7109375" style="50" customWidth="1"/>
    <col min="10770" max="10770" width="29.7109375" style="50" customWidth="1"/>
    <col min="10771" max="10771" width="25.7109375" style="50" customWidth="1"/>
    <col min="10772" max="10772" width="44.7109375" style="50" customWidth="1"/>
    <col min="10773" max="10773" width="25.7109375" style="50" customWidth="1"/>
    <col min="10774" max="10774" width="32.140625" style="50" customWidth="1"/>
    <col min="10775" max="10775" width="38.28515625" style="50" customWidth="1"/>
    <col min="10776" max="10776" width="32.7109375" style="50" customWidth="1"/>
    <col min="10777" max="10777" width="61" style="50" customWidth="1"/>
    <col min="10778" max="10778" width="25.7109375" style="50" customWidth="1"/>
    <col min="10779" max="10779" width="206.85546875" style="50" customWidth="1"/>
    <col min="10780" max="10780" width="71.140625" style="50" customWidth="1"/>
    <col min="10781" max="10781" width="13.5703125" style="50" customWidth="1"/>
    <col min="10782" max="11008" width="9.140625" style="50"/>
    <col min="11009" max="11009" width="155.28515625" style="50" customWidth="1"/>
    <col min="11010" max="11011" width="29.85546875" style="50" customWidth="1"/>
    <col min="11012" max="11012" width="26.7109375" style="50" customWidth="1"/>
    <col min="11013" max="11013" width="26.5703125" style="50" customWidth="1"/>
    <col min="11014" max="11014" width="25.7109375" style="50" customWidth="1"/>
    <col min="11015" max="11015" width="28.5703125" style="50" customWidth="1"/>
    <col min="11016" max="11016" width="27.7109375" style="50" customWidth="1"/>
    <col min="11017" max="11025" width="25.7109375" style="50" customWidth="1"/>
    <col min="11026" max="11026" width="29.7109375" style="50" customWidth="1"/>
    <col min="11027" max="11027" width="25.7109375" style="50" customWidth="1"/>
    <col min="11028" max="11028" width="44.7109375" style="50" customWidth="1"/>
    <col min="11029" max="11029" width="25.7109375" style="50" customWidth="1"/>
    <col min="11030" max="11030" width="32.140625" style="50" customWidth="1"/>
    <col min="11031" max="11031" width="38.28515625" style="50" customWidth="1"/>
    <col min="11032" max="11032" width="32.7109375" style="50" customWidth="1"/>
    <col min="11033" max="11033" width="61" style="50" customWidth="1"/>
    <col min="11034" max="11034" width="25.7109375" style="50" customWidth="1"/>
    <col min="11035" max="11035" width="206.85546875" style="50" customWidth="1"/>
    <col min="11036" max="11036" width="71.140625" style="50" customWidth="1"/>
    <col min="11037" max="11037" width="13.5703125" style="50" customWidth="1"/>
    <col min="11038" max="11264" width="9.140625" style="50"/>
    <col min="11265" max="11265" width="155.28515625" style="50" customWidth="1"/>
    <col min="11266" max="11267" width="29.85546875" style="50" customWidth="1"/>
    <col min="11268" max="11268" width="26.7109375" style="50" customWidth="1"/>
    <col min="11269" max="11269" width="26.5703125" style="50" customWidth="1"/>
    <col min="11270" max="11270" width="25.7109375" style="50" customWidth="1"/>
    <col min="11271" max="11271" width="28.5703125" style="50" customWidth="1"/>
    <col min="11272" max="11272" width="27.7109375" style="50" customWidth="1"/>
    <col min="11273" max="11281" width="25.7109375" style="50" customWidth="1"/>
    <col min="11282" max="11282" width="29.7109375" style="50" customWidth="1"/>
    <col min="11283" max="11283" width="25.7109375" style="50" customWidth="1"/>
    <col min="11284" max="11284" width="44.7109375" style="50" customWidth="1"/>
    <col min="11285" max="11285" width="25.7109375" style="50" customWidth="1"/>
    <col min="11286" max="11286" width="32.140625" style="50" customWidth="1"/>
    <col min="11287" max="11287" width="38.28515625" style="50" customWidth="1"/>
    <col min="11288" max="11288" width="32.7109375" style="50" customWidth="1"/>
    <col min="11289" max="11289" width="61" style="50" customWidth="1"/>
    <col min="11290" max="11290" width="25.7109375" style="50" customWidth="1"/>
    <col min="11291" max="11291" width="206.85546875" style="50" customWidth="1"/>
    <col min="11292" max="11292" width="71.140625" style="50" customWidth="1"/>
    <col min="11293" max="11293" width="13.5703125" style="50" customWidth="1"/>
    <col min="11294" max="11520" width="9.140625" style="50"/>
    <col min="11521" max="11521" width="155.28515625" style="50" customWidth="1"/>
    <col min="11522" max="11523" width="29.85546875" style="50" customWidth="1"/>
    <col min="11524" max="11524" width="26.7109375" style="50" customWidth="1"/>
    <col min="11525" max="11525" width="26.5703125" style="50" customWidth="1"/>
    <col min="11526" max="11526" width="25.7109375" style="50" customWidth="1"/>
    <col min="11527" max="11527" width="28.5703125" style="50" customWidth="1"/>
    <col min="11528" max="11528" width="27.7109375" style="50" customWidth="1"/>
    <col min="11529" max="11537" width="25.7109375" style="50" customWidth="1"/>
    <col min="11538" max="11538" width="29.7109375" style="50" customWidth="1"/>
    <col min="11539" max="11539" width="25.7109375" style="50" customWidth="1"/>
    <col min="11540" max="11540" width="44.7109375" style="50" customWidth="1"/>
    <col min="11541" max="11541" width="25.7109375" style="50" customWidth="1"/>
    <col min="11542" max="11542" width="32.140625" style="50" customWidth="1"/>
    <col min="11543" max="11543" width="38.28515625" style="50" customWidth="1"/>
    <col min="11544" max="11544" width="32.7109375" style="50" customWidth="1"/>
    <col min="11545" max="11545" width="61" style="50" customWidth="1"/>
    <col min="11546" max="11546" width="25.7109375" style="50" customWidth="1"/>
    <col min="11547" max="11547" width="206.85546875" style="50" customWidth="1"/>
    <col min="11548" max="11548" width="71.140625" style="50" customWidth="1"/>
    <col min="11549" max="11549" width="13.5703125" style="50" customWidth="1"/>
    <col min="11550" max="11776" width="9.140625" style="50"/>
    <col min="11777" max="11777" width="155.28515625" style="50" customWidth="1"/>
    <col min="11778" max="11779" width="29.85546875" style="50" customWidth="1"/>
    <col min="11780" max="11780" width="26.7109375" style="50" customWidth="1"/>
    <col min="11781" max="11781" width="26.5703125" style="50" customWidth="1"/>
    <col min="11782" max="11782" width="25.7109375" style="50" customWidth="1"/>
    <col min="11783" max="11783" width="28.5703125" style="50" customWidth="1"/>
    <col min="11784" max="11784" width="27.7109375" style="50" customWidth="1"/>
    <col min="11785" max="11793" width="25.7109375" style="50" customWidth="1"/>
    <col min="11794" max="11794" width="29.7109375" style="50" customWidth="1"/>
    <col min="11795" max="11795" width="25.7109375" style="50" customWidth="1"/>
    <col min="11796" max="11796" width="44.7109375" style="50" customWidth="1"/>
    <col min="11797" max="11797" width="25.7109375" style="50" customWidth="1"/>
    <col min="11798" max="11798" width="32.140625" style="50" customWidth="1"/>
    <col min="11799" max="11799" width="38.28515625" style="50" customWidth="1"/>
    <col min="11800" max="11800" width="32.7109375" style="50" customWidth="1"/>
    <col min="11801" max="11801" width="61" style="50" customWidth="1"/>
    <col min="11802" max="11802" width="25.7109375" style="50" customWidth="1"/>
    <col min="11803" max="11803" width="206.85546875" style="50" customWidth="1"/>
    <col min="11804" max="11804" width="71.140625" style="50" customWidth="1"/>
    <col min="11805" max="11805" width="13.5703125" style="50" customWidth="1"/>
    <col min="11806" max="12032" width="9.140625" style="50"/>
    <col min="12033" max="12033" width="155.28515625" style="50" customWidth="1"/>
    <col min="12034" max="12035" width="29.85546875" style="50" customWidth="1"/>
    <col min="12036" max="12036" width="26.7109375" style="50" customWidth="1"/>
    <col min="12037" max="12037" width="26.5703125" style="50" customWidth="1"/>
    <col min="12038" max="12038" width="25.7109375" style="50" customWidth="1"/>
    <col min="12039" max="12039" width="28.5703125" style="50" customWidth="1"/>
    <col min="12040" max="12040" width="27.7109375" style="50" customWidth="1"/>
    <col min="12041" max="12049" width="25.7109375" style="50" customWidth="1"/>
    <col min="12050" max="12050" width="29.7109375" style="50" customWidth="1"/>
    <col min="12051" max="12051" width="25.7109375" style="50" customWidth="1"/>
    <col min="12052" max="12052" width="44.7109375" style="50" customWidth="1"/>
    <col min="12053" max="12053" width="25.7109375" style="50" customWidth="1"/>
    <col min="12054" max="12054" width="32.140625" style="50" customWidth="1"/>
    <col min="12055" max="12055" width="38.28515625" style="50" customWidth="1"/>
    <col min="12056" max="12056" width="32.7109375" style="50" customWidth="1"/>
    <col min="12057" max="12057" width="61" style="50" customWidth="1"/>
    <col min="12058" max="12058" width="25.7109375" style="50" customWidth="1"/>
    <col min="12059" max="12059" width="206.85546875" style="50" customWidth="1"/>
    <col min="12060" max="12060" width="71.140625" style="50" customWidth="1"/>
    <col min="12061" max="12061" width="13.5703125" style="50" customWidth="1"/>
    <col min="12062" max="12288" width="9.140625" style="50"/>
    <col min="12289" max="12289" width="155.28515625" style="50" customWidth="1"/>
    <col min="12290" max="12291" width="29.85546875" style="50" customWidth="1"/>
    <col min="12292" max="12292" width="26.7109375" style="50" customWidth="1"/>
    <col min="12293" max="12293" width="26.5703125" style="50" customWidth="1"/>
    <col min="12294" max="12294" width="25.7109375" style="50" customWidth="1"/>
    <col min="12295" max="12295" width="28.5703125" style="50" customWidth="1"/>
    <col min="12296" max="12296" width="27.7109375" style="50" customWidth="1"/>
    <col min="12297" max="12305" width="25.7109375" style="50" customWidth="1"/>
    <col min="12306" max="12306" width="29.7109375" style="50" customWidth="1"/>
    <col min="12307" max="12307" width="25.7109375" style="50" customWidth="1"/>
    <col min="12308" max="12308" width="44.7109375" style="50" customWidth="1"/>
    <col min="12309" max="12309" width="25.7109375" style="50" customWidth="1"/>
    <col min="12310" max="12310" width="32.140625" style="50" customWidth="1"/>
    <col min="12311" max="12311" width="38.28515625" style="50" customWidth="1"/>
    <col min="12312" max="12312" width="32.7109375" style="50" customWidth="1"/>
    <col min="12313" max="12313" width="61" style="50" customWidth="1"/>
    <col min="12314" max="12314" width="25.7109375" style="50" customWidth="1"/>
    <col min="12315" max="12315" width="206.85546875" style="50" customWidth="1"/>
    <col min="12316" max="12316" width="71.140625" style="50" customWidth="1"/>
    <col min="12317" max="12317" width="13.5703125" style="50" customWidth="1"/>
    <col min="12318" max="12544" width="9.140625" style="50"/>
    <col min="12545" max="12545" width="155.28515625" style="50" customWidth="1"/>
    <col min="12546" max="12547" width="29.85546875" style="50" customWidth="1"/>
    <col min="12548" max="12548" width="26.7109375" style="50" customWidth="1"/>
    <col min="12549" max="12549" width="26.5703125" style="50" customWidth="1"/>
    <col min="12550" max="12550" width="25.7109375" style="50" customWidth="1"/>
    <col min="12551" max="12551" width="28.5703125" style="50" customWidth="1"/>
    <col min="12552" max="12552" width="27.7109375" style="50" customWidth="1"/>
    <col min="12553" max="12561" width="25.7109375" style="50" customWidth="1"/>
    <col min="12562" max="12562" width="29.7109375" style="50" customWidth="1"/>
    <col min="12563" max="12563" width="25.7109375" style="50" customWidth="1"/>
    <col min="12564" max="12564" width="44.7109375" style="50" customWidth="1"/>
    <col min="12565" max="12565" width="25.7109375" style="50" customWidth="1"/>
    <col min="12566" max="12566" width="32.140625" style="50" customWidth="1"/>
    <col min="12567" max="12567" width="38.28515625" style="50" customWidth="1"/>
    <col min="12568" max="12568" width="32.7109375" style="50" customWidth="1"/>
    <col min="12569" max="12569" width="61" style="50" customWidth="1"/>
    <col min="12570" max="12570" width="25.7109375" style="50" customWidth="1"/>
    <col min="12571" max="12571" width="206.85546875" style="50" customWidth="1"/>
    <col min="12572" max="12572" width="71.140625" style="50" customWidth="1"/>
    <col min="12573" max="12573" width="13.5703125" style="50" customWidth="1"/>
    <col min="12574" max="12800" width="9.140625" style="50"/>
    <col min="12801" max="12801" width="155.28515625" style="50" customWidth="1"/>
    <col min="12802" max="12803" width="29.85546875" style="50" customWidth="1"/>
    <col min="12804" max="12804" width="26.7109375" style="50" customWidth="1"/>
    <col min="12805" max="12805" width="26.5703125" style="50" customWidth="1"/>
    <col min="12806" max="12806" width="25.7109375" style="50" customWidth="1"/>
    <col min="12807" max="12807" width="28.5703125" style="50" customWidth="1"/>
    <col min="12808" max="12808" width="27.7109375" style="50" customWidth="1"/>
    <col min="12809" max="12817" width="25.7109375" style="50" customWidth="1"/>
    <col min="12818" max="12818" width="29.7109375" style="50" customWidth="1"/>
    <col min="12819" max="12819" width="25.7109375" style="50" customWidth="1"/>
    <col min="12820" max="12820" width="44.7109375" style="50" customWidth="1"/>
    <col min="12821" max="12821" width="25.7109375" style="50" customWidth="1"/>
    <col min="12822" max="12822" width="32.140625" style="50" customWidth="1"/>
    <col min="12823" max="12823" width="38.28515625" style="50" customWidth="1"/>
    <col min="12824" max="12824" width="32.7109375" style="50" customWidth="1"/>
    <col min="12825" max="12825" width="61" style="50" customWidth="1"/>
    <col min="12826" max="12826" width="25.7109375" style="50" customWidth="1"/>
    <col min="12827" max="12827" width="206.85546875" style="50" customWidth="1"/>
    <col min="12828" max="12828" width="71.140625" style="50" customWidth="1"/>
    <col min="12829" max="12829" width="13.5703125" style="50" customWidth="1"/>
    <col min="12830" max="13056" width="9.140625" style="50"/>
    <col min="13057" max="13057" width="155.28515625" style="50" customWidth="1"/>
    <col min="13058" max="13059" width="29.85546875" style="50" customWidth="1"/>
    <col min="13060" max="13060" width="26.7109375" style="50" customWidth="1"/>
    <col min="13061" max="13061" width="26.5703125" style="50" customWidth="1"/>
    <col min="13062" max="13062" width="25.7109375" style="50" customWidth="1"/>
    <col min="13063" max="13063" width="28.5703125" style="50" customWidth="1"/>
    <col min="13064" max="13064" width="27.7109375" style="50" customWidth="1"/>
    <col min="13065" max="13073" width="25.7109375" style="50" customWidth="1"/>
    <col min="13074" max="13074" width="29.7109375" style="50" customWidth="1"/>
    <col min="13075" max="13075" width="25.7109375" style="50" customWidth="1"/>
    <col min="13076" max="13076" width="44.7109375" style="50" customWidth="1"/>
    <col min="13077" max="13077" width="25.7109375" style="50" customWidth="1"/>
    <col min="13078" max="13078" width="32.140625" style="50" customWidth="1"/>
    <col min="13079" max="13079" width="38.28515625" style="50" customWidth="1"/>
    <col min="13080" max="13080" width="32.7109375" style="50" customWidth="1"/>
    <col min="13081" max="13081" width="61" style="50" customWidth="1"/>
    <col min="13082" max="13082" width="25.7109375" style="50" customWidth="1"/>
    <col min="13083" max="13083" width="206.85546875" style="50" customWidth="1"/>
    <col min="13084" max="13084" width="71.140625" style="50" customWidth="1"/>
    <col min="13085" max="13085" width="13.5703125" style="50" customWidth="1"/>
    <col min="13086" max="13312" width="9.140625" style="50"/>
    <col min="13313" max="13313" width="155.28515625" style="50" customWidth="1"/>
    <col min="13314" max="13315" width="29.85546875" style="50" customWidth="1"/>
    <col min="13316" max="13316" width="26.7109375" style="50" customWidth="1"/>
    <col min="13317" max="13317" width="26.5703125" style="50" customWidth="1"/>
    <col min="13318" max="13318" width="25.7109375" style="50" customWidth="1"/>
    <col min="13319" max="13319" width="28.5703125" style="50" customWidth="1"/>
    <col min="13320" max="13320" width="27.7109375" style="50" customWidth="1"/>
    <col min="13321" max="13329" width="25.7109375" style="50" customWidth="1"/>
    <col min="13330" max="13330" width="29.7109375" style="50" customWidth="1"/>
    <col min="13331" max="13331" width="25.7109375" style="50" customWidth="1"/>
    <col min="13332" max="13332" width="44.7109375" style="50" customWidth="1"/>
    <col min="13333" max="13333" width="25.7109375" style="50" customWidth="1"/>
    <col min="13334" max="13334" width="32.140625" style="50" customWidth="1"/>
    <col min="13335" max="13335" width="38.28515625" style="50" customWidth="1"/>
    <col min="13336" max="13336" width="32.7109375" style="50" customWidth="1"/>
    <col min="13337" max="13337" width="61" style="50" customWidth="1"/>
    <col min="13338" max="13338" width="25.7109375" style="50" customWidth="1"/>
    <col min="13339" max="13339" width="206.85546875" style="50" customWidth="1"/>
    <col min="13340" max="13340" width="71.140625" style="50" customWidth="1"/>
    <col min="13341" max="13341" width="13.5703125" style="50" customWidth="1"/>
    <col min="13342" max="13568" width="9.140625" style="50"/>
    <col min="13569" max="13569" width="155.28515625" style="50" customWidth="1"/>
    <col min="13570" max="13571" width="29.85546875" style="50" customWidth="1"/>
    <col min="13572" max="13572" width="26.7109375" style="50" customWidth="1"/>
    <col min="13573" max="13573" width="26.5703125" style="50" customWidth="1"/>
    <col min="13574" max="13574" width="25.7109375" style="50" customWidth="1"/>
    <col min="13575" max="13575" width="28.5703125" style="50" customWidth="1"/>
    <col min="13576" max="13576" width="27.7109375" style="50" customWidth="1"/>
    <col min="13577" max="13585" width="25.7109375" style="50" customWidth="1"/>
    <col min="13586" max="13586" width="29.7109375" style="50" customWidth="1"/>
    <col min="13587" max="13587" width="25.7109375" style="50" customWidth="1"/>
    <col min="13588" max="13588" width="44.7109375" style="50" customWidth="1"/>
    <col min="13589" max="13589" width="25.7109375" style="50" customWidth="1"/>
    <col min="13590" max="13590" width="32.140625" style="50" customWidth="1"/>
    <col min="13591" max="13591" width="38.28515625" style="50" customWidth="1"/>
    <col min="13592" max="13592" width="32.7109375" style="50" customWidth="1"/>
    <col min="13593" max="13593" width="61" style="50" customWidth="1"/>
    <col min="13594" max="13594" width="25.7109375" style="50" customWidth="1"/>
    <col min="13595" max="13595" width="206.85546875" style="50" customWidth="1"/>
    <col min="13596" max="13596" width="71.140625" style="50" customWidth="1"/>
    <col min="13597" max="13597" width="13.5703125" style="50" customWidth="1"/>
    <col min="13598" max="13824" width="9.140625" style="50"/>
    <col min="13825" max="13825" width="155.28515625" style="50" customWidth="1"/>
    <col min="13826" max="13827" width="29.85546875" style="50" customWidth="1"/>
    <col min="13828" max="13828" width="26.7109375" style="50" customWidth="1"/>
    <col min="13829" max="13829" width="26.5703125" style="50" customWidth="1"/>
    <col min="13830" max="13830" width="25.7109375" style="50" customWidth="1"/>
    <col min="13831" max="13831" width="28.5703125" style="50" customWidth="1"/>
    <col min="13832" max="13832" width="27.7109375" style="50" customWidth="1"/>
    <col min="13833" max="13841" width="25.7109375" style="50" customWidth="1"/>
    <col min="13842" max="13842" width="29.7109375" style="50" customWidth="1"/>
    <col min="13843" max="13843" width="25.7109375" style="50" customWidth="1"/>
    <col min="13844" max="13844" width="44.7109375" style="50" customWidth="1"/>
    <col min="13845" max="13845" width="25.7109375" style="50" customWidth="1"/>
    <col min="13846" max="13846" width="32.140625" style="50" customWidth="1"/>
    <col min="13847" max="13847" width="38.28515625" style="50" customWidth="1"/>
    <col min="13848" max="13848" width="32.7109375" style="50" customWidth="1"/>
    <col min="13849" max="13849" width="61" style="50" customWidth="1"/>
    <col min="13850" max="13850" width="25.7109375" style="50" customWidth="1"/>
    <col min="13851" max="13851" width="206.85546875" style="50" customWidth="1"/>
    <col min="13852" max="13852" width="71.140625" style="50" customWidth="1"/>
    <col min="13853" max="13853" width="13.5703125" style="50" customWidth="1"/>
    <col min="13854" max="14080" width="9.140625" style="50"/>
    <col min="14081" max="14081" width="155.28515625" style="50" customWidth="1"/>
    <col min="14082" max="14083" width="29.85546875" style="50" customWidth="1"/>
    <col min="14084" max="14084" width="26.7109375" style="50" customWidth="1"/>
    <col min="14085" max="14085" width="26.5703125" style="50" customWidth="1"/>
    <col min="14086" max="14086" width="25.7109375" style="50" customWidth="1"/>
    <col min="14087" max="14087" width="28.5703125" style="50" customWidth="1"/>
    <col min="14088" max="14088" width="27.7109375" style="50" customWidth="1"/>
    <col min="14089" max="14097" width="25.7109375" style="50" customWidth="1"/>
    <col min="14098" max="14098" width="29.7109375" style="50" customWidth="1"/>
    <col min="14099" max="14099" width="25.7109375" style="50" customWidth="1"/>
    <col min="14100" max="14100" width="44.7109375" style="50" customWidth="1"/>
    <col min="14101" max="14101" width="25.7109375" style="50" customWidth="1"/>
    <col min="14102" max="14102" width="32.140625" style="50" customWidth="1"/>
    <col min="14103" max="14103" width="38.28515625" style="50" customWidth="1"/>
    <col min="14104" max="14104" width="32.7109375" style="50" customWidth="1"/>
    <col min="14105" max="14105" width="61" style="50" customWidth="1"/>
    <col min="14106" max="14106" width="25.7109375" style="50" customWidth="1"/>
    <col min="14107" max="14107" width="206.85546875" style="50" customWidth="1"/>
    <col min="14108" max="14108" width="71.140625" style="50" customWidth="1"/>
    <col min="14109" max="14109" width="13.5703125" style="50" customWidth="1"/>
    <col min="14110" max="14336" width="9.140625" style="50"/>
    <col min="14337" max="14337" width="155.28515625" style="50" customWidth="1"/>
    <col min="14338" max="14339" width="29.85546875" style="50" customWidth="1"/>
    <col min="14340" max="14340" width="26.7109375" style="50" customWidth="1"/>
    <col min="14341" max="14341" width="26.5703125" style="50" customWidth="1"/>
    <col min="14342" max="14342" width="25.7109375" style="50" customWidth="1"/>
    <col min="14343" max="14343" width="28.5703125" style="50" customWidth="1"/>
    <col min="14344" max="14344" width="27.7109375" style="50" customWidth="1"/>
    <col min="14345" max="14353" width="25.7109375" style="50" customWidth="1"/>
    <col min="14354" max="14354" width="29.7109375" style="50" customWidth="1"/>
    <col min="14355" max="14355" width="25.7109375" style="50" customWidth="1"/>
    <col min="14356" max="14356" width="44.7109375" style="50" customWidth="1"/>
    <col min="14357" max="14357" width="25.7109375" style="50" customWidth="1"/>
    <col min="14358" max="14358" width="32.140625" style="50" customWidth="1"/>
    <col min="14359" max="14359" width="38.28515625" style="50" customWidth="1"/>
    <col min="14360" max="14360" width="32.7109375" style="50" customWidth="1"/>
    <col min="14361" max="14361" width="61" style="50" customWidth="1"/>
    <col min="14362" max="14362" width="25.7109375" style="50" customWidth="1"/>
    <col min="14363" max="14363" width="206.85546875" style="50" customWidth="1"/>
    <col min="14364" max="14364" width="71.140625" style="50" customWidth="1"/>
    <col min="14365" max="14365" width="13.5703125" style="50" customWidth="1"/>
    <col min="14366" max="14592" width="9.140625" style="50"/>
    <col min="14593" max="14593" width="155.28515625" style="50" customWidth="1"/>
    <col min="14594" max="14595" width="29.85546875" style="50" customWidth="1"/>
    <col min="14596" max="14596" width="26.7109375" style="50" customWidth="1"/>
    <col min="14597" max="14597" width="26.5703125" style="50" customWidth="1"/>
    <col min="14598" max="14598" width="25.7109375" style="50" customWidth="1"/>
    <col min="14599" max="14599" width="28.5703125" style="50" customWidth="1"/>
    <col min="14600" max="14600" width="27.7109375" style="50" customWidth="1"/>
    <col min="14601" max="14609" width="25.7109375" style="50" customWidth="1"/>
    <col min="14610" max="14610" width="29.7109375" style="50" customWidth="1"/>
    <col min="14611" max="14611" width="25.7109375" style="50" customWidth="1"/>
    <col min="14612" max="14612" width="44.7109375" style="50" customWidth="1"/>
    <col min="14613" max="14613" width="25.7109375" style="50" customWidth="1"/>
    <col min="14614" max="14614" width="32.140625" style="50" customWidth="1"/>
    <col min="14615" max="14615" width="38.28515625" style="50" customWidth="1"/>
    <col min="14616" max="14616" width="32.7109375" style="50" customWidth="1"/>
    <col min="14617" max="14617" width="61" style="50" customWidth="1"/>
    <col min="14618" max="14618" width="25.7109375" style="50" customWidth="1"/>
    <col min="14619" max="14619" width="206.85546875" style="50" customWidth="1"/>
    <col min="14620" max="14620" width="71.140625" style="50" customWidth="1"/>
    <col min="14621" max="14621" width="13.5703125" style="50" customWidth="1"/>
    <col min="14622" max="14848" width="9.140625" style="50"/>
    <col min="14849" max="14849" width="155.28515625" style="50" customWidth="1"/>
    <col min="14850" max="14851" width="29.85546875" style="50" customWidth="1"/>
    <col min="14852" max="14852" width="26.7109375" style="50" customWidth="1"/>
    <col min="14853" max="14853" width="26.5703125" style="50" customWidth="1"/>
    <col min="14854" max="14854" width="25.7109375" style="50" customWidth="1"/>
    <col min="14855" max="14855" width="28.5703125" style="50" customWidth="1"/>
    <col min="14856" max="14856" width="27.7109375" style="50" customWidth="1"/>
    <col min="14857" max="14865" width="25.7109375" style="50" customWidth="1"/>
    <col min="14866" max="14866" width="29.7109375" style="50" customWidth="1"/>
    <col min="14867" max="14867" width="25.7109375" style="50" customWidth="1"/>
    <col min="14868" max="14868" width="44.7109375" style="50" customWidth="1"/>
    <col min="14869" max="14869" width="25.7109375" style="50" customWidth="1"/>
    <col min="14870" max="14870" width="32.140625" style="50" customWidth="1"/>
    <col min="14871" max="14871" width="38.28515625" style="50" customWidth="1"/>
    <col min="14872" max="14872" width="32.7109375" style="50" customWidth="1"/>
    <col min="14873" max="14873" width="61" style="50" customWidth="1"/>
    <col min="14874" max="14874" width="25.7109375" style="50" customWidth="1"/>
    <col min="14875" max="14875" width="206.85546875" style="50" customWidth="1"/>
    <col min="14876" max="14876" width="71.140625" style="50" customWidth="1"/>
    <col min="14877" max="14877" width="13.5703125" style="50" customWidth="1"/>
    <col min="14878" max="15104" width="9.140625" style="50"/>
    <col min="15105" max="15105" width="155.28515625" style="50" customWidth="1"/>
    <col min="15106" max="15107" width="29.85546875" style="50" customWidth="1"/>
    <col min="15108" max="15108" width="26.7109375" style="50" customWidth="1"/>
    <col min="15109" max="15109" width="26.5703125" style="50" customWidth="1"/>
    <col min="15110" max="15110" width="25.7109375" style="50" customWidth="1"/>
    <col min="15111" max="15111" width="28.5703125" style="50" customWidth="1"/>
    <col min="15112" max="15112" width="27.7109375" style="50" customWidth="1"/>
    <col min="15113" max="15121" width="25.7109375" style="50" customWidth="1"/>
    <col min="15122" max="15122" width="29.7109375" style="50" customWidth="1"/>
    <col min="15123" max="15123" width="25.7109375" style="50" customWidth="1"/>
    <col min="15124" max="15124" width="44.7109375" style="50" customWidth="1"/>
    <col min="15125" max="15125" width="25.7109375" style="50" customWidth="1"/>
    <col min="15126" max="15126" width="32.140625" style="50" customWidth="1"/>
    <col min="15127" max="15127" width="38.28515625" style="50" customWidth="1"/>
    <col min="15128" max="15128" width="32.7109375" style="50" customWidth="1"/>
    <col min="15129" max="15129" width="61" style="50" customWidth="1"/>
    <col min="15130" max="15130" width="25.7109375" style="50" customWidth="1"/>
    <col min="15131" max="15131" width="206.85546875" style="50" customWidth="1"/>
    <col min="15132" max="15132" width="71.140625" style="50" customWidth="1"/>
    <col min="15133" max="15133" width="13.5703125" style="50" customWidth="1"/>
    <col min="15134" max="15360" width="9.140625" style="50"/>
    <col min="15361" max="15361" width="155.28515625" style="50" customWidth="1"/>
    <col min="15362" max="15363" width="29.85546875" style="50" customWidth="1"/>
    <col min="15364" max="15364" width="26.7109375" style="50" customWidth="1"/>
    <col min="15365" max="15365" width="26.5703125" style="50" customWidth="1"/>
    <col min="15366" max="15366" width="25.7109375" style="50" customWidth="1"/>
    <col min="15367" max="15367" width="28.5703125" style="50" customWidth="1"/>
    <col min="15368" max="15368" width="27.7109375" style="50" customWidth="1"/>
    <col min="15369" max="15377" width="25.7109375" style="50" customWidth="1"/>
    <col min="15378" max="15378" width="29.7109375" style="50" customWidth="1"/>
    <col min="15379" max="15379" width="25.7109375" style="50" customWidth="1"/>
    <col min="15380" max="15380" width="44.7109375" style="50" customWidth="1"/>
    <col min="15381" max="15381" width="25.7109375" style="50" customWidth="1"/>
    <col min="15382" max="15382" width="32.140625" style="50" customWidth="1"/>
    <col min="15383" max="15383" width="38.28515625" style="50" customWidth="1"/>
    <col min="15384" max="15384" width="32.7109375" style="50" customWidth="1"/>
    <col min="15385" max="15385" width="61" style="50" customWidth="1"/>
    <col min="15386" max="15386" width="25.7109375" style="50" customWidth="1"/>
    <col min="15387" max="15387" width="206.85546875" style="50" customWidth="1"/>
    <col min="15388" max="15388" width="71.140625" style="50" customWidth="1"/>
    <col min="15389" max="15389" width="13.5703125" style="50" customWidth="1"/>
    <col min="15390" max="15616" width="9.140625" style="50"/>
    <col min="15617" max="15617" width="155.28515625" style="50" customWidth="1"/>
    <col min="15618" max="15619" width="29.85546875" style="50" customWidth="1"/>
    <col min="15620" max="15620" width="26.7109375" style="50" customWidth="1"/>
    <col min="15621" max="15621" width="26.5703125" style="50" customWidth="1"/>
    <col min="15622" max="15622" width="25.7109375" style="50" customWidth="1"/>
    <col min="15623" max="15623" width="28.5703125" style="50" customWidth="1"/>
    <col min="15624" max="15624" width="27.7109375" style="50" customWidth="1"/>
    <col min="15625" max="15633" width="25.7109375" style="50" customWidth="1"/>
    <col min="15634" max="15634" width="29.7109375" style="50" customWidth="1"/>
    <col min="15635" max="15635" width="25.7109375" style="50" customWidth="1"/>
    <col min="15636" max="15636" width="44.7109375" style="50" customWidth="1"/>
    <col min="15637" max="15637" width="25.7109375" style="50" customWidth="1"/>
    <col min="15638" max="15638" width="32.140625" style="50" customWidth="1"/>
    <col min="15639" max="15639" width="38.28515625" style="50" customWidth="1"/>
    <col min="15640" max="15640" width="32.7109375" style="50" customWidth="1"/>
    <col min="15641" max="15641" width="61" style="50" customWidth="1"/>
    <col min="15642" max="15642" width="25.7109375" style="50" customWidth="1"/>
    <col min="15643" max="15643" width="206.85546875" style="50" customWidth="1"/>
    <col min="15644" max="15644" width="71.140625" style="50" customWidth="1"/>
    <col min="15645" max="15645" width="13.5703125" style="50" customWidth="1"/>
    <col min="15646" max="15872" width="9.140625" style="50"/>
    <col min="15873" max="15873" width="155.28515625" style="50" customWidth="1"/>
    <col min="15874" max="15875" width="29.85546875" style="50" customWidth="1"/>
    <col min="15876" max="15876" width="26.7109375" style="50" customWidth="1"/>
    <col min="15877" max="15877" width="26.5703125" style="50" customWidth="1"/>
    <col min="15878" max="15878" width="25.7109375" style="50" customWidth="1"/>
    <col min="15879" max="15879" width="28.5703125" style="50" customWidth="1"/>
    <col min="15880" max="15880" width="27.7109375" style="50" customWidth="1"/>
    <col min="15881" max="15889" width="25.7109375" style="50" customWidth="1"/>
    <col min="15890" max="15890" width="29.7109375" style="50" customWidth="1"/>
    <col min="15891" max="15891" width="25.7109375" style="50" customWidth="1"/>
    <col min="15892" max="15892" width="44.7109375" style="50" customWidth="1"/>
    <col min="15893" max="15893" width="25.7109375" style="50" customWidth="1"/>
    <col min="15894" max="15894" width="32.140625" style="50" customWidth="1"/>
    <col min="15895" max="15895" width="38.28515625" style="50" customWidth="1"/>
    <col min="15896" max="15896" width="32.7109375" style="50" customWidth="1"/>
    <col min="15897" max="15897" width="61" style="50" customWidth="1"/>
    <col min="15898" max="15898" width="25.7109375" style="50" customWidth="1"/>
    <col min="15899" max="15899" width="206.85546875" style="50" customWidth="1"/>
    <col min="15900" max="15900" width="71.140625" style="50" customWidth="1"/>
    <col min="15901" max="15901" width="13.5703125" style="50" customWidth="1"/>
    <col min="15902" max="16128" width="9.140625" style="50"/>
    <col min="16129" max="16129" width="155.28515625" style="50" customWidth="1"/>
    <col min="16130" max="16131" width="29.85546875" style="50" customWidth="1"/>
    <col min="16132" max="16132" width="26.7109375" style="50" customWidth="1"/>
    <col min="16133" max="16133" width="26.5703125" style="50" customWidth="1"/>
    <col min="16134" max="16134" width="25.7109375" style="50" customWidth="1"/>
    <col min="16135" max="16135" width="28.5703125" style="50" customWidth="1"/>
    <col min="16136" max="16136" width="27.7109375" style="50" customWidth="1"/>
    <col min="16137" max="16145" width="25.7109375" style="50" customWidth="1"/>
    <col min="16146" max="16146" width="29.7109375" style="50" customWidth="1"/>
    <col min="16147" max="16147" width="25.7109375" style="50" customWidth="1"/>
    <col min="16148" max="16148" width="44.7109375" style="50" customWidth="1"/>
    <col min="16149" max="16149" width="25.7109375" style="50" customWidth="1"/>
    <col min="16150" max="16150" width="32.140625" style="50" customWidth="1"/>
    <col min="16151" max="16151" width="38.28515625" style="50" customWidth="1"/>
    <col min="16152" max="16152" width="32.7109375" style="50" customWidth="1"/>
    <col min="16153" max="16153" width="61" style="50" customWidth="1"/>
    <col min="16154" max="16154" width="25.7109375" style="50" customWidth="1"/>
    <col min="16155" max="16155" width="206.85546875" style="50" customWidth="1"/>
    <col min="16156" max="16156" width="71.140625" style="50" customWidth="1"/>
    <col min="16157" max="16157" width="13.5703125" style="50" customWidth="1"/>
    <col min="16158" max="16384" width="9.140625" style="50"/>
  </cols>
  <sheetData>
    <row r="1" spans="1:9" x14ac:dyDescent="0.2">
      <c r="A1" s="49" t="s">
        <v>99</v>
      </c>
      <c r="D1" s="51"/>
    </row>
    <row r="2" spans="1:9" x14ac:dyDescent="0.2">
      <c r="A2" s="52">
        <v>1</v>
      </c>
      <c r="B2" s="82" t="s">
        <v>224</v>
      </c>
      <c r="C2" s="82"/>
      <c r="D2" s="82"/>
      <c r="E2" s="82"/>
      <c r="F2" s="82"/>
      <c r="G2" s="83"/>
      <c r="I2" s="49"/>
    </row>
    <row r="3" spans="1:9" x14ac:dyDescent="0.2">
      <c r="A3" s="52">
        <v>2</v>
      </c>
      <c r="B3" s="82" t="s">
        <v>223</v>
      </c>
      <c r="C3" s="82"/>
      <c r="D3" s="82"/>
      <c r="E3" s="82"/>
      <c r="F3" s="82"/>
      <c r="G3" s="83"/>
      <c r="I3" s="49"/>
    </row>
    <row r="4" spans="1:9" x14ac:dyDescent="0.2">
      <c r="A4" s="52">
        <v>3</v>
      </c>
      <c r="B4" s="82" t="s">
        <v>225</v>
      </c>
      <c r="C4" s="82"/>
      <c r="D4" s="82"/>
      <c r="E4" s="82"/>
      <c r="F4" s="82"/>
      <c r="G4" s="83"/>
      <c r="I4" s="49"/>
    </row>
    <row r="5" spans="1:9" x14ac:dyDescent="0.2">
      <c r="A5" s="52"/>
      <c r="G5" s="49"/>
      <c r="I5" s="49"/>
    </row>
    <row r="6" spans="1:9" x14ac:dyDescent="0.2">
      <c r="A6" s="52"/>
      <c r="C6" s="49"/>
    </row>
    <row r="7" spans="1:9" x14ac:dyDescent="0.2">
      <c r="A7" s="53"/>
      <c r="B7" s="54"/>
      <c r="C7" s="54" t="str">
        <f>'Proj.gegevens_invest.begroting'!C12</f>
        <v>Elektrolyser met aansluiting gekoppeld aan het elektriciteitsnet</v>
      </c>
    </row>
    <row r="8" spans="1:9" ht="12.75" customHeight="1" x14ac:dyDescent="0.2">
      <c r="B8" s="4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0D04F7A1BCF3448FEFFFAAD131276E" ma:contentTypeVersion="13" ma:contentTypeDescription="Een nieuw document maken." ma:contentTypeScope="" ma:versionID="fb9bc5fcb08937bc994ea0b13af295f5">
  <xsd:schema xmlns:xsd="http://www.w3.org/2001/XMLSchema" xmlns:xs="http://www.w3.org/2001/XMLSchema" xmlns:p="http://schemas.microsoft.com/office/2006/metadata/properties" xmlns:ns2="14fdbc8b-21cd-41d9-a0d9-e5404f527eeb" xmlns:ns3="96621ed8-4f40-464f-b357-fd6891ef9984" targetNamespace="http://schemas.microsoft.com/office/2006/metadata/properties" ma:root="true" ma:fieldsID="81e3e65fa278dca1cd4e242a358bc132" ns2:_="" ns3:_="">
    <xsd:import namespace="14fdbc8b-21cd-41d9-a0d9-e5404f527eeb"/>
    <xsd:import namespace="96621ed8-4f40-464f-b357-fd6891ef998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fdbc8b-21cd-41d9-a0d9-e5404f527e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50003867-e375-437d-8008-d2fa13c8bf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621ed8-4f40-464f-b357-fd6891ef9984"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D9950F-FA3F-4B28-8D97-EB738002F730}">
  <ds:schemaRefs>
    <ds:schemaRef ds:uri="http://schemas.microsoft.com/sharepoint/v3/contenttype/forms"/>
  </ds:schemaRefs>
</ds:datastoreItem>
</file>

<file path=customXml/itemProps2.xml><?xml version="1.0" encoding="utf-8"?>
<ds:datastoreItem xmlns:ds="http://schemas.openxmlformats.org/officeDocument/2006/customXml" ds:itemID="{E1B9C2DF-DE3F-4073-9BA4-1FDEDD285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fdbc8b-21cd-41d9-a0d9-e5404f527eeb"/>
    <ds:schemaRef ds:uri="96621ed8-4f40-464f-b357-fd6891ef99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7</vt:i4>
      </vt:variant>
    </vt:vector>
  </HeadingPairs>
  <TitlesOfParts>
    <vt:vector size="18" baseType="lpstr">
      <vt:lpstr>Toelichting Investeringsdeel</vt:lpstr>
      <vt:lpstr>Proj.gegevens_invest.begroting</vt:lpstr>
      <vt:lpstr>Mijlpalenbegroting</vt:lpstr>
      <vt:lpstr>Toelichting Exploitatiedeel</vt:lpstr>
      <vt:lpstr>Financieringsplan</vt:lpstr>
      <vt:lpstr>Productie_en_afzet</vt:lpstr>
      <vt:lpstr>Exploitatieberekening</vt:lpstr>
      <vt:lpstr>Overzicht bijlagen</vt:lpstr>
      <vt:lpstr>Hulpblad_categorieën_parameters</vt:lpstr>
      <vt:lpstr>Hulpblad_overig</vt:lpstr>
      <vt:lpstr>Alternat.rendementsberekening</vt:lpstr>
      <vt:lpstr>Financieringsplan!Afdrukbereik</vt:lpstr>
      <vt:lpstr>Mijlpalenbegroting!Afdrukbereik</vt:lpstr>
      <vt:lpstr>'Overzicht bijlagen'!Afdrukbereik</vt:lpstr>
      <vt:lpstr>Productie_en_afzet!Afdrukbereik</vt:lpstr>
      <vt:lpstr>Proj.gegevens_invest.begroting!Afdrukbereik</vt:lpstr>
      <vt:lpstr>'Toelichting Investeringsdeel'!Afdrukbereik</vt:lpstr>
      <vt:lpstr>Soort_bedrijf</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 investeringsbegroting en haalbaarheidsstudie OWE 2024</dc:title>
  <dc:creator>Rijksdienst voor Ondernemend Nederland</dc:creator>
  <cp:lastModifiedBy>Rinsma, ing. G.R. (Gerhard)</cp:lastModifiedBy>
  <cp:lastPrinted>2024-08-21T07:17:41Z</cp:lastPrinted>
  <dcterms:created xsi:type="dcterms:W3CDTF">2022-04-26T18:18:30Z</dcterms:created>
  <dcterms:modified xsi:type="dcterms:W3CDTF">2024-10-14T13:10:14Z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2023-01-03T14:13:09Z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b004e1d6-8659-4025-980c-332c91acd686</vt:lpwstr>
  </property>
  <property fmtid="{D5CDD505-2E9C-101B-9397-08002B2CF9AE}" pid="8" name="MSIP_Label_4bde8109-f994-4a60-a1d3-5c95e2ff3620_ContentBits">
    <vt:lpwstr>0</vt:lpwstr>
  </property>
</Properties>
</file>