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30"/>
  <workbookPr codeName="ThisWorkbook" defaultThemeVersion="124226"/>
  <mc:AlternateContent xmlns:mc="http://schemas.openxmlformats.org/markup-compatibility/2006">
    <mc:Choice Requires="x15">
      <x15ac:absPath xmlns:x15ac="http://schemas.microsoft.com/office/spreadsheetml/2010/11/ac" url="https://dictu.sharepoint.com/sites/RVO-PROJ-ERTMSsamenwerkingIenWRVO/Gedeelde documenten/General/04 documenten/Inregeling en formats/Begrotingsformat/"/>
    </mc:Choice>
  </mc:AlternateContent>
  <xr:revisionPtr revIDLastSave="0" documentId="8_{E98332DD-0E35-4F0D-8096-31CEF79F6BE1}" xr6:coauthVersionLast="47" xr6:coauthVersionMax="47" xr10:uidLastSave="{00000000-0000-0000-0000-000000000000}"/>
  <workbookProtection workbookAlgorithmName="SHA-512" workbookHashValue="BCCBBT7DiaYuFh8A3owT+glf6/x+V6u8K/0HwanM2FjAW0Dy1dbUVjhTDhi3xCde+325toGpW0/IN7tOaF4vMg==" workbookSaltValue="EPfn3PJTThdFzHsB8N45Kg==" workbookSpinCount="100000" lockStructure="1"/>
  <bookViews>
    <workbookView xWindow="10110" yWindow="180" windowWidth="41130" windowHeight="20325" tabRatio="755" firstSheet="6" activeTab="6" xr2:uid="{00000000-000D-0000-FFFF-FFFF00000000}"/>
  </bookViews>
  <sheets>
    <sheet name="Overzicht voor FEM" sheetId="40" state="hidden" r:id="rId1"/>
    <sheet name="Lijsten" sheetId="33" state="hidden" r:id="rId2"/>
    <sheet name="Cover page" sheetId="31" r:id="rId3"/>
    <sheet name="Explanation" sheetId="41" r:id="rId4"/>
    <sheet name="Total budget" sheetId="17" r:id="rId5"/>
    <sheet name="splitsing serie en proto" sheetId="2" state="hidden" r:id="rId6"/>
    <sheet name="Serial adaptation" sheetId="61" r:id="rId7"/>
    <sheet name="Prototype development" sheetId="60" r:id="rId8"/>
    <sheet name="A2" sheetId="43" state="hidden" r:id="rId9"/>
    <sheet name="A3" sheetId="46" state="hidden" r:id="rId10"/>
    <sheet name="A4" sheetId="45" state="hidden" r:id="rId11"/>
    <sheet name="A5" sheetId="56" state="hidden" r:id="rId12"/>
    <sheet name="Liquidity requirement Serial ad" sheetId="57" r:id="rId13"/>
    <sheet name="Mijlpaal berekening" sheetId="62" state="hidden" r:id="rId14"/>
    <sheet name="Milestone budget" sheetId="58" r:id="rId15"/>
    <sheet name="Blad1" sheetId="63" state="hidden" r:id="rId16"/>
  </sheets>
  <definedNames>
    <definedName name="_Hlk144221902" localSheetId="3">Explanation!#REF!</definedName>
    <definedName name="_Hlk172548509" localSheetId="3">Explanation!$A$66</definedName>
    <definedName name="_Hlk181186218" localSheetId="3">Explanation!$A$38</definedName>
    <definedName name="_xlnm.Print_Area" localSheetId="8">'A2'!$B$2:$F$76</definedName>
    <definedName name="_xlnm.Print_Area" localSheetId="9">'A3'!$B$2:$F$76</definedName>
    <definedName name="_xlnm.Print_Area" localSheetId="10">'A4'!$B$2:$F$76</definedName>
    <definedName name="_xlnm.Print_Area" localSheetId="11">'A5'!$B$2:$F$76</definedName>
    <definedName name="_xlnm.Print_Area" localSheetId="3">Explanation!$A$8:$O$69</definedName>
    <definedName name="_xlnm.Print_Area" localSheetId="0">'Overzicht voor FEM'!$A$1:$I$34</definedName>
    <definedName name="_xlnm.Print_Area" localSheetId="7">'Prototype development'!$C$2:$G$91</definedName>
    <definedName name="_xlnm.Print_Area" localSheetId="6">'Serial adaptation'!$B$2:$H$269</definedName>
    <definedName name="_xlnm.Print_Area" localSheetId="5">'splitsing serie en proto'!$B$2:$G$82</definedName>
    <definedName name="_xlnm.Print_Area" localSheetId="4">'Total budget'!$B$1:$T$16</definedName>
    <definedName name="datum_verlening">'Overzicht voor FEM'!$C$9</definedName>
    <definedName name="Kostensystematiek">Lijsten!$D$5:$D$8</definedName>
    <definedName name="MijnOpties">IF(#REF!&lt;&gt;"",#REF!,#REF!)</definedName>
    <definedName name="Organisatiesoort">Lijsten!$A$5:$A$10</definedName>
    <definedName name="penvoerder_naam" localSheetId="7">'Prototype development'!$D$2</definedName>
    <definedName name="penvoerder_naam" localSheetId="6">'Serial adaptation'!$E$2</definedName>
    <definedName name="penvoerder_naam">'splitsing serie en proto'!$D$2</definedName>
    <definedName name="project_einddatum" localSheetId="7">'Prototype development'!$D$5</definedName>
    <definedName name="project_einddatum" localSheetId="6">'Serial adaptation'!$E$5</definedName>
    <definedName name="project_einddatum">'splitsing serie en proto'!$D$5</definedName>
    <definedName name="project_startdatum" localSheetId="7">'Prototype development'!$D$4</definedName>
    <definedName name="project_startdatum" localSheetId="6">'Serial adaptation'!$E$4</definedName>
    <definedName name="project_startdatum">'splitsing serie en proto'!$D$4</definedName>
    <definedName name="projectkosten" localSheetId="7">'Prototype development'!$G$71</definedName>
    <definedName name="projectkosten" localSheetId="6">'Serial adaptation'!$H$249</definedName>
    <definedName name="projectkosten" localSheetId="5">'splitsing serie en proto'!$G$60</definedName>
    <definedName name="projecttitel" localSheetId="7">'Prototype development'!$D$3</definedName>
    <definedName name="projecttitel" localSheetId="6">'Serial adaptation'!$E$3</definedName>
    <definedName name="projecttitel">'splitsing serie en proto'!$D$3</definedName>
    <definedName name="regeling_datum_openstelling">Lijsten!$B$2</definedName>
    <definedName name="Subsidiedoel">Lijsten!$A$14:$A$16</definedName>
    <definedName name="totaalbegroting_eigen_aandeel">'Total budget'!$R$10:$R$14</definedName>
    <definedName name="totaalbegroting_loonkostensystm">'Total budget'!$H$10:$H$14</definedName>
    <definedName name="totaalbegroting_max_subsidie">'Total budget'!$L$10:$L$14</definedName>
    <definedName name="totaalbegroting_organisatiesoort">'Total budget'!$F$10:$F$14</definedName>
    <definedName name="totaalbegroting_projectkosten">'Total budget'!$J$10:$J$14</definedName>
    <definedName name="totaalbegroting_subsidie_totaal_grevraagd">'Total budget'!$N$10:$N$14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6" i="57" l="1"/>
  <c r="G5" i="57"/>
  <c r="T78" i="57"/>
  <c r="U78" i="57"/>
  <c r="V78" i="57"/>
  <c r="W78" i="57"/>
  <c r="X78" i="57"/>
  <c r="Y78" i="57"/>
  <c r="Z78" i="57"/>
  <c r="AA78" i="57"/>
  <c r="D4" i="17"/>
  <c r="Y22" i="57"/>
  <c r="Z22" i="57"/>
  <c r="AA22" i="57"/>
  <c r="Y23" i="57"/>
  <c r="Z23" i="57"/>
  <c r="AA23" i="57"/>
  <c r="Y24" i="57"/>
  <c r="Z24" i="57"/>
  <c r="AA24" i="57"/>
  <c r="Y25" i="57"/>
  <c r="Z25" i="57"/>
  <c r="AA25" i="57"/>
  <c r="Y26" i="57"/>
  <c r="Z26" i="57"/>
  <c r="AA26" i="57"/>
  <c r="Y27" i="57"/>
  <c r="Z27" i="57"/>
  <c r="AA27" i="57"/>
  <c r="Y28" i="57"/>
  <c r="Z28" i="57"/>
  <c r="AA28" i="57"/>
  <c r="Y29" i="57"/>
  <c r="Z29" i="57"/>
  <c r="AA29" i="57"/>
  <c r="Y30" i="57"/>
  <c r="Z30" i="57"/>
  <c r="AA30" i="57"/>
  <c r="Y31" i="57"/>
  <c r="Z31" i="57"/>
  <c r="AA31" i="57"/>
  <c r="Y32" i="57"/>
  <c r="Z32" i="57"/>
  <c r="AA32" i="57"/>
  <c r="Y33" i="57"/>
  <c r="Z33" i="57"/>
  <c r="AA33" i="57"/>
  <c r="Y34" i="57"/>
  <c r="Z34" i="57"/>
  <c r="AA34" i="57"/>
  <c r="Y35" i="57"/>
  <c r="Z35" i="57"/>
  <c r="AA35" i="57"/>
  <c r="Y36" i="57"/>
  <c r="Z36" i="57"/>
  <c r="AA36" i="57"/>
  <c r="Y37" i="57"/>
  <c r="Z37" i="57"/>
  <c r="AA37" i="57"/>
  <c r="X23" i="57"/>
  <c r="X24" i="57"/>
  <c r="X25" i="57"/>
  <c r="X26" i="57"/>
  <c r="X27" i="57"/>
  <c r="X28" i="57"/>
  <c r="X29" i="57"/>
  <c r="X30" i="57"/>
  <c r="X31" i="57"/>
  <c r="X32" i="57"/>
  <c r="X33" i="57"/>
  <c r="X34" i="57"/>
  <c r="X35" i="57"/>
  <c r="X36" i="57"/>
  <c r="X37" i="57"/>
  <c r="X22" i="57"/>
  <c r="U22" i="57"/>
  <c r="V22" i="57"/>
  <c r="W22" i="57"/>
  <c r="U23" i="57"/>
  <c r="V23" i="57"/>
  <c r="W23" i="57"/>
  <c r="U24" i="57"/>
  <c r="V24" i="57"/>
  <c r="W24" i="57"/>
  <c r="U25" i="57"/>
  <c r="V25" i="57"/>
  <c r="W25" i="57"/>
  <c r="U26" i="57"/>
  <c r="V26" i="57"/>
  <c r="W26" i="57"/>
  <c r="U27" i="57"/>
  <c r="V27" i="57"/>
  <c r="W27" i="57"/>
  <c r="U28" i="57"/>
  <c r="V28" i="57"/>
  <c r="W28" i="57"/>
  <c r="U29" i="57"/>
  <c r="V29" i="57"/>
  <c r="W29" i="57"/>
  <c r="U30" i="57"/>
  <c r="V30" i="57"/>
  <c r="W30" i="57"/>
  <c r="U31" i="57"/>
  <c r="V31" i="57"/>
  <c r="W31" i="57"/>
  <c r="U32" i="57"/>
  <c r="V32" i="57"/>
  <c r="W32" i="57"/>
  <c r="U33" i="57"/>
  <c r="V33" i="57"/>
  <c r="W33" i="57"/>
  <c r="U34" i="57"/>
  <c r="V34" i="57"/>
  <c r="W34" i="57"/>
  <c r="U35" i="57"/>
  <c r="V35" i="57"/>
  <c r="W35" i="57"/>
  <c r="U36" i="57"/>
  <c r="V36" i="57"/>
  <c r="W36" i="57"/>
  <c r="U37" i="57"/>
  <c r="V37" i="57"/>
  <c r="W37" i="57"/>
  <c r="T23" i="57"/>
  <c r="T24" i="57"/>
  <c r="T25" i="57"/>
  <c r="T26" i="57"/>
  <c r="T27" i="57"/>
  <c r="T28" i="57"/>
  <c r="T29" i="57"/>
  <c r="T30" i="57"/>
  <c r="T31" i="57"/>
  <c r="T32" i="57"/>
  <c r="T33" i="57"/>
  <c r="T34" i="57"/>
  <c r="T35" i="57"/>
  <c r="T36" i="57"/>
  <c r="T37" i="57"/>
  <c r="T22" i="57"/>
  <c r="G46" i="58"/>
  <c r="F46" i="58"/>
  <c r="E46" i="58"/>
  <c r="D46" i="58"/>
  <c r="F47" i="57"/>
  <c r="F48" i="57"/>
  <c r="F49" i="57"/>
  <c r="F50" i="57"/>
  <c r="F51" i="57"/>
  <c r="F52" i="57"/>
  <c r="F53" i="57"/>
  <c r="F54" i="57"/>
  <c r="F55" i="57"/>
  <c r="F56" i="57"/>
  <c r="F57" i="57"/>
  <c r="F58" i="57"/>
  <c r="F59" i="57"/>
  <c r="F60" i="57"/>
  <c r="F61" i="57"/>
  <c r="F62" i="57"/>
  <c r="F63" i="57"/>
  <c r="F64" i="57"/>
  <c r="F65" i="57"/>
  <c r="F66" i="57"/>
  <c r="F67" i="57"/>
  <c r="F68" i="57"/>
  <c r="F69" i="57"/>
  <c r="F70" i="57"/>
  <c r="F71" i="57"/>
  <c r="F9" i="61"/>
  <c r="B11" i="17"/>
  <c r="B10" i="17"/>
  <c r="H10" i="17"/>
  <c r="F4" i="61"/>
  <c r="M6" i="60"/>
  <c r="M4" i="60"/>
  <c r="M5" i="60"/>
  <c r="M11" i="60"/>
  <c r="E6" i="60"/>
  <c r="C4" i="57"/>
  <c r="C13" i="60"/>
  <c r="G55" i="60"/>
  <c r="B53" i="60"/>
  <c r="B52" i="60"/>
  <c r="B51" i="60"/>
  <c r="B50" i="60"/>
  <c r="B49" i="60"/>
  <c r="B48" i="60"/>
  <c r="B47" i="60"/>
  <c r="B46" i="60"/>
  <c r="Y70" i="57" l="1"/>
  <c r="Z70" i="57"/>
  <c r="AA70" i="57"/>
  <c r="X70" i="57"/>
  <c r="U70" i="57"/>
  <c r="V70" i="57"/>
  <c r="W70" i="57"/>
  <c r="T70" i="57"/>
  <c r="Y69" i="57"/>
  <c r="Z69" i="57"/>
  <c r="AA69" i="57"/>
  <c r="X69" i="57"/>
  <c r="U69" i="57"/>
  <c r="V69" i="57"/>
  <c r="W69" i="57"/>
  <c r="T69" i="57"/>
  <c r="Y68" i="57"/>
  <c r="Z68" i="57"/>
  <c r="AA68" i="57"/>
  <c r="X68" i="57"/>
  <c r="U68" i="57"/>
  <c r="V68" i="57"/>
  <c r="W68" i="57"/>
  <c r="T68" i="57"/>
  <c r="Y67" i="57"/>
  <c r="Z67" i="57"/>
  <c r="AA67" i="57"/>
  <c r="X67" i="57"/>
  <c r="U67" i="57"/>
  <c r="V67" i="57"/>
  <c r="W67" i="57"/>
  <c r="T67" i="57"/>
  <c r="Y66" i="57"/>
  <c r="Z66" i="57"/>
  <c r="AA66" i="57"/>
  <c r="X66" i="57"/>
  <c r="U66" i="57"/>
  <c r="V66" i="57"/>
  <c r="W66" i="57"/>
  <c r="T66" i="57"/>
  <c r="Y65" i="57"/>
  <c r="Z65" i="57"/>
  <c r="AA65" i="57"/>
  <c r="X65" i="57"/>
  <c r="U65" i="57"/>
  <c r="V65" i="57"/>
  <c r="W65" i="57"/>
  <c r="T65" i="57"/>
  <c r="Y64" i="57"/>
  <c r="Z64" i="57"/>
  <c r="AA64" i="57"/>
  <c r="X64" i="57"/>
  <c r="U64" i="57"/>
  <c r="V64" i="57"/>
  <c r="W64" i="57"/>
  <c r="T64" i="57"/>
  <c r="Y63" i="57"/>
  <c r="Z63" i="57"/>
  <c r="AA63" i="57"/>
  <c r="X63" i="57"/>
  <c r="U63" i="57"/>
  <c r="V63" i="57"/>
  <c r="W63" i="57"/>
  <c r="T63" i="57"/>
  <c r="Y62" i="57"/>
  <c r="Z62" i="57"/>
  <c r="AA62" i="57"/>
  <c r="X62" i="57"/>
  <c r="U62" i="57"/>
  <c r="V62" i="57"/>
  <c r="W62" i="57"/>
  <c r="T62" i="57"/>
  <c r="Y61" i="57"/>
  <c r="Z61" i="57"/>
  <c r="AA61" i="57"/>
  <c r="X61" i="57"/>
  <c r="U61" i="57"/>
  <c r="V61" i="57"/>
  <c r="W61" i="57"/>
  <c r="T61" i="57"/>
  <c r="Y60" i="57"/>
  <c r="Z60" i="57"/>
  <c r="AA60" i="57"/>
  <c r="X60" i="57"/>
  <c r="U60" i="57"/>
  <c r="V60" i="57"/>
  <c r="W60" i="57"/>
  <c r="T60" i="57"/>
  <c r="Y59" i="57"/>
  <c r="Z59" i="57"/>
  <c r="AA59" i="57"/>
  <c r="X59" i="57"/>
  <c r="U59" i="57"/>
  <c r="V59" i="57"/>
  <c r="W59" i="57"/>
  <c r="T59" i="57"/>
  <c r="Y58" i="57"/>
  <c r="Z58" i="57"/>
  <c r="AA58" i="57"/>
  <c r="X58" i="57"/>
  <c r="U58" i="57"/>
  <c r="V58" i="57"/>
  <c r="W58" i="57"/>
  <c r="T58" i="57"/>
  <c r="Y57" i="57"/>
  <c r="Z57" i="57"/>
  <c r="AA57" i="57"/>
  <c r="X57" i="57"/>
  <c r="U57" i="57"/>
  <c r="V57" i="57"/>
  <c r="W57" i="57"/>
  <c r="T57" i="57"/>
  <c r="Y56" i="57"/>
  <c r="Z56" i="57"/>
  <c r="AA56" i="57"/>
  <c r="X56" i="57"/>
  <c r="U56" i="57"/>
  <c r="V56" i="57"/>
  <c r="W56" i="57"/>
  <c r="T56" i="57"/>
  <c r="Y55" i="57"/>
  <c r="Z55" i="57"/>
  <c r="AA55" i="57"/>
  <c r="X55" i="57"/>
  <c r="U55" i="57"/>
  <c r="V55" i="57"/>
  <c r="W55" i="57"/>
  <c r="T55" i="57"/>
  <c r="Y54" i="57"/>
  <c r="Z54" i="57"/>
  <c r="AA54" i="57"/>
  <c r="X54" i="57"/>
  <c r="U54" i="57"/>
  <c r="V54" i="57"/>
  <c r="W54" i="57"/>
  <c r="T54" i="57"/>
  <c r="Y53" i="57"/>
  <c r="Z53" i="57"/>
  <c r="AA53" i="57"/>
  <c r="X53" i="57"/>
  <c r="U53" i="57"/>
  <c r="V53" i="57"/>
  <c r="W53" i="57"/>
  <c r="T53" i="57"/>
  <c r="Y52" i="57"/>
  <c r="Z52" i="57"/>
  <c r="AA52" i="57"/>
  <c r="X52" i="57"/>
  <c r="U52" i="57"/>
  <c r="V52" i="57"/>
  <c r="W52" i="57"/>
  <c r="T52" i="57"/>
  <c r="Y51" i="57"/>
  <c r="Z51" i="57"/>
  <c r="AA51" i="57"/>
  <c r="X51" i="57"/>
  <c r="U51" i="57"/>
  <c r="V51" i="57"/>
  <c r="W51" i="57"/>
  <c r="T51" i="57"/>
  <c r="Y50" i="57"/>
  <c r="Z50" i="57"/>
  <c r="AA50" i="57"/>
  <c r="X50" i="57"/>
  <c r="U50" i="57"/>
  <c r="V50" i="57"/>
  <c r="W50" i="57"/>
  <c r="T50" i="57"/>
  <c r="Y49" i="57"/>
  <c r="Z49" i="57"/>
  <c r="AA49" i="57"/>
  <c r="X49" i="57"/>
  <c r="U49" i="57"/>
  <c r="V49" i="57"/>
  <c r="W49" i="57"/>
  <c r="T49" i="57"/>
  <c r="Y48" i="57"/>
  <c r="Z48" i="57"/>
  <c r="AA48" i="57"/>
  <c r="X48" i="57"/>
  <c r="U48" i="57"/>
  <c r="V48" i="57"/>
  <c r="W48" i="57"/>
  <c r="T48" i="57"/>
  <c r="Y47" i="57"/>
  <c r="Z47" i="57"/>
  <c r="AA47" i="57"/>
  <c r="X47" i="57"/>
  <c r="U47" i="57"/>
  <c r="V47" i="57"/>
  <c r="W47" i="57"/>
  <c r="T47" i="57"/>
  <c r="Y71" i="57"/>
  <c r="Z71" i="57"/>
  <c r="AA71" i="57"/>
  <c r="X71" i="57"/>
  <c r="E10" i="60"/>
  <c r="F27" i="60"/>
  <c r="G4" i="61"/>
  <c r="E10" i="17"/>
  <c r="C3" i="57"/>
  <c r="D10" i="17"/>
  <c r="H17" i="61"/>
  <c r="H3" i="61"/>
  <c r="G47" i="57"/>
  <c r="G48" i="57"/>
  <c r="G49" i="57"/>
  <c r="G50" i="57"/>
  <c r="G51" i="57"/>
  <c r="G52" i="57"/>
  <c r="G53" i="57"/>
  <c r="G54" i="57"/>
  <c r="G55" i="57"/>
  <c r="G56" i="57"/>
  <c r="G57" i="57"/>
  <c r="G58" i="57"/>
  <c r="G59" i="57"/>
  <c r="G60" i="57"/>
  <c r="G61" i="57"/>
  <c r="G62" i="57"/>
  <c r="G63" i="57"/>
  <c r="G64" i="57"/>
  <c r="G65" i="57"/>
  <c r="G66" i="57"/>
  <c r="G67" i="57"/>
  <c r="G68" i="57"/>
  <c r="G69" i="57"/>
  <c r="G70" i="57"/>
  <c r="G71" i="57"/>
  <c r="G24" i="58"/>
  <c r="F24" i="58"/>
  <c r="E24" i="58"/>
  <c r="D24" i="58"/>
  <c r="C24" i="58"/>
  <c r="C42" i="58"/>
  <c r="G23" i="57"/>
  <c r="G24" i="57"/>
  <c r="G25" i="57"/>
  <c r="G26" i="57"/>
  <c r="G27" i="57"/>
  <c r="G28" i="57"/>
  <c r="G29" i="57"/>
  <c r="G30" i="57"/>
  <c r="G31" i="57"/>
  <c r="G32" i="57"/>
  <c r="G33" i="57"/>
  <c r="G34" i="57"/>
  <c r="G35" i="57"/>
  <c r="G36" i="57"/>
  <c r="G37" i="57"/>
  <c r="G38" i="57"/>
  <c r="G39" i="57"/>
  <c r="G40" i="57"/>
  <c r="G41" i="57"/>
  <c r="G42" i="57"/>
  <c r="G43" i="57"/>
  <c r="G44" i="57"/>
  <c r="G45" i="57"/>
  <c r="G46" i="57"/>
  <c r="G22" i="57"/>
  <c r="C14" i="57"/>
  <c r="C5" i="57"/>
  <c r="C15" i="57" l="1"/>
  <c r="C16" i="57" s="1"/>
  <c r="K47" i="57" l="1"/>
  <c r="K48" i="57"/>
  <c r="K49" i="57"/>
  <c r="K50" i="57"/>
  <c r="K51" i="57"/>
  <c r="K52" i="57"/>
  <c r="K53" i="57"/>
  <c r="K54" i="57"/>
  <c r="K55" i="57"/>
  <c r="K56" i="57"/>
  <c r="K57" i="57"/>
  <c r="K58" i="57"/>
  <c r="K59" i="57"/>
  <c r="K60" i="57"/>
  <c r="K61" i="57"/>
  <c r="K62" i="57"/>
  <c r="K63" i="57"/>
  <c r="K64" i="57"/>
  <c r="K65" i="57"/>
  <c r="K66" i="57"/>
  <c r="K67" i="57"/>
  <c r="K68" i="57"/>
  <c r="K69" i="57"/>
  <c r="K70" i="57"/>
  <c r="K71" i="57"/>
  <c r="J47" i="57"/>
  <c r="J48" i="57"/>
  <c r="J49" i="57"/>
  <c r="J50" i="57"/>
  <c r="J51" i="57"/>
  <c r="J52" i="57"/>
  <c r="J53" i="57"/>
  <c r="J54" i="57"/>
  <c r="J55" i="57"/>
  <c r="J56" i="57"/>
  <c r="J57" i="57"/>
  <c r="J58" i="57"/>
  <c r="J59" i="57"/>
  <c r="J60" i="57"/>
  <c r="J61" i="57"/>
  <c r="J62" i="57"/>
  <c r="J63" i="57"/>
  <c r="J64" i="57"/>
  <c r="J65" i="57"/>
  <c r="J66" i="57"/>
  <c r="J67" i="57"/>
  <c r="J68" i="57"/>
  <c r="J69" i="57"/>
  <c r="J70" i="57"/>
  <c r="J71" i="57"/>
  <c r="I47" i="57"/>
  <c r="I48" i="57"/>
  <c r="I49" i="57"/>
  <c r="I50" i="57"/>
  <c r="I51" i="57"/>
  <c r="I52" i="57"/>
  <c r="I53" i="57"/>
  <c r="I54" i="57"/>
  <c r="I55" i="57"/>
  <c r="I56" i="57"/>
  <c r="I57" i="57"/>
  <c r="I58" i="57"/>
  <c r="I59" i="57"/>
  <c r="I60" i="57"/>
  <c r="I61" i="57"/>
  <c r="I62" i="57"/>
  <c r="I63" i="57"/>
  <c r="I64" i="57"/>
  <c r="I65" i="57"/>
  <c r="I66" i="57"/>
  <c r="I67" i="57"/>
  <c r="I68" i="57"/>
  <c r="I69" i="57"/>
  <c r="I70" i="57"/>
  <c r="I71" i="57"/>
  <c r="C44" i="58" l="1"/>
  <c r="D45" i="58"/>
  <c r="E45" i="58"/>
  <c r="F45" i="58"/>
  <c r="G45" i="58"/>
  <c r="C45" i="58"/>
  <c r="D44" i="58"/>
  <c r="E44" i="58"/>
  <c r="F44" i="58"/>
  <c r="G44" i="58"/>
  <c r="D43" i="58"/>
  <c r="E43" i="58"/>
  <c r="F43" i="58"/>
  <c r="G43" i="58"/>
  <c r="C43" i="58"/>
  <c r="D78" i="57"/>
  <c r="D77" i="57"/>
  <c r="G22" i="60"/>
  <c r="G23" i="60"/>
  <c r="G24" i="60"/>
  <c r="G20" i="60"/>
  <c r="G21" i="60"/>
  <c r="C245" i="61"/>
  <c r="C244" i="61"/>
  <c r="C243" i="61"/>
  <c r="C242" i="61"/>
  <c r="C241" i="61"/>
  <c r="C240" i="61"/>
  <c r="C239" i="61"/>
  <c r="C238" i="61"/>
  <c r="C237" i="61"/>
  <c r="C236" i="61"/>
  <c r="C235" i="61"/>
  <c r="C234" i="61"/>
  <c r="C233" i="61"/>
  <c r="C232" i="61"/>
  <c r="C231" i="61"/>
  <c r="C230" i="61"/>
  <c r="C229" i="61"/>
  <c r="C228" i="61"/>
  <c r="C227" i="61"/>
  <c r="C226" i="61"/>
  <c r="C225" i="61"/>
  <c r="C224" i="61"/>
  <c r="C223" i="61"/>
  <c r="C222" i="61"/>
  <c r="C221" i="61"/>
  <c r="C220" i="61"/>
  <c r="C219" i="61"/>
  <c r="C218" i="61"/>
  <c r="C217" i="61"/>
  <c r="C216" i="61"/>
  <c r="C215" i="61"/>
  <c r="C214" i="61"/>
  <c r="C213" i="61"/>
  <c r="C212" i="61"/>
  <c r="C211" i="61"/>
  <c r="C210" i="61"/>
  <c r="C209" i="61"/>
  <c r="C208" i="61"/>
  <c r="C207" i="61"/>
  <c r="C206" i="61"/>
  <c r="C205" i="61"/>
  <c r="C204" i="61"/>
  <c r="C203" i="61"/>
  <c r="C202" i="61"/>
  <c r="C201" i="61"/>
  <c r="C200" i="61"/>
  <c r="C199" i="61"/>
  <c r="C198" i="61"/>
  <c r="C197" i="61"/>
  <c r="C196" i="61"/>
  <c r="C195" i="61"/>
  <c r="C194" i="61"/>
  <c r="C193" i="61"/>
  <c r="C192" i="61"/>
  <c r="C191" i="61"/>
  <c r="C190" i="61"/>
  <c r="C189" i="61"/>
  <c r="C188" i="61"/>
  <c r="C133" i="61"/>
  <c r="C134" i="61"/>
  <c r="C135" i="61"/>
  <c r="C136" i="61"/>
  <c r="C137" i="61"/>
  <c r="C138" i="61"/>
  <c r="C139" i="61"/>
  <c r="C140" i="61"/>
  <c r="C141" i="61"/>
  <c r="C142" i="61"/>
  <c r="C143" i="61"/>
  <c r="C144" i="61"/>
  <c r="C145" i="61"/>
  <c r="C146" i="61"/>
  <c r="C147" i="61"/>
  <c r="C148" i="61"/>
  <c r="C149" i="61"/>
  <c r="C150" i="61"/>
  <c r="C151" i="61"/>
  <c r="C152" i="61"/>
  <c r="C153" i="61"/>
  <c r="C154" i="61"/>
  <c r="C155" i="61"/>
  <c r="C156" i="61"/>
  <c r="C157" i="61"/>
  <c r="C158" i="61"/>
  <c r="C159" i="61"/>
  <c r="C160" i="61"/>
  <c r="C161" i="61"/>
  <c r="C162" i="61"/>
  <c r="C163" i="61"/>
  <c r="C164" i="61"/>
  <c r="C165" i="61"/>
  <c r="C166" i="61"/>
  <c r="C167" i="61"/>
  <c r="C168" i="61"/>
  <c r="C169" i="61"/>
  <c r="C170" i="61"/>
  <c r="C171" i="61"/>
  <c r="C172" i="61"/>
  <c r="C173" i="61"/>
  <c r="C174" i="61"/>
  <c r="C175" i="61"/>
  <c r="C176" i="61"/>
  <c r="C177" i="61"/>
  <c r="C178" i="61"/>
  <c r="C179" i="61"/>
  <c r="C180" i="61"/>
  <c r="C181" i="61"/>
  <c r="C132" i="61"/>
  <c r="C76" i="61"/>
  <c r="C77" i="61"/>
  <c r="C78" i="61"/>
  <c r="C79" i="61"/>
  <c r="C80" i="61"/>
  <c r="C81" i="61"/>
  <c r="C82" i="61"/>
  <c r="C83" i="61"/>
  <c r="C84" i="61"/>
  <c r="C85" i="61"/>
  <c r="C86" i="61"/>
  <c r="C87" i="61"/>
  <c r="C88" i="61"/>
  <c r="C89" i="61"/>
  <c r="C90" i="61"/>
  <c r="C91" i="61"/>
  <c r="C92" i="61"/>
  <c r="C93" i="61"/>
  <c r="C94" i="61"/>
  <c r="C95" i="61"/>
  <c r="C96" i="61"/>
  <c r="C97" i="61"/>
  <c r="C98" i="61"/>
  <c r="C99" i="61"/>
  <c r="C100" i="61"/>
  <c r="C101" i="61"/>
  <c r="C102" i="61"/>
  <c r="C103" i="61"/>
  <c r="C104" i="61"/>
  <c r="C105" i="61"/>
  <c r="C106" i="61"/>
  <c r="C107" i="61"/>
  <c r="C108" i="61"/>
  <c r="C109" i="61"/>
  <c r="C110" i="61"/>
  <c r="C111" i="61"/>
  <c r="C112" i="61"/>
  <c r="C113" i="61"/>
  <c r="C114" i="61"/>
  <c r="C115" i="61"/>
  <c r="C116" i="61"/>
  <c r="C117" i="61"/>
  <c r="C118" i="61"/>
  <c r="C119" i="61"/>
  <c r="C120" i="61"/>
  <c r="C121" i="61"/>
  <c r="C122" i="61"/>
  <c r="C123" i="61"/>
  <c r="C124" i="61"/>
  <c r="C125" i="61"/>
  <c r="C75" i="61"/>
  <c r="B67" i="60"/>
  <c r="B66" i="60"/>
  <c r="B65" i="60"/>
  <c r="B64" i="60"/>
  <c r="B63" i="60"/>
  <c r="B62" i="60"/>
  <c r="B61" i="60"/>
  <c r="B60" i="60"/>
  <c r="B34" i="60"/>
  <c r="B35" i="60"/>
  <c r="B36" i="60"/>
  <c r="B37" i="60"/>
  <c r="B38" i="60"/>
  <c r="B39" i="60"/>
  <c r="B40" i="60"/>
  <c r="B33" i="60"/>
  <c r="H3" i="60"/>
  <c r="G4" i="60"/>
  <c r="G6" i="60"/>
  <c r="G7" i="60"/>
  <c r="M7" i="60" s="1"/>
  <c r="G5" i="60"/>
  <c r="G6" i="61"/>
  <c r="G5" i="61"/>
  <c r="M5" i="61" s="1"/>
  <c r="C47" i="57"/>
  <c r="C48" i="57"/>
  <c r="C49" i="57"/>
  <c r="C50" i="57"/>
  <c r="C51" i="57"/>
  <c r="C52" i="57"/>
  <c r="C53" i="57"/>
  <c r="C54" i="57"/>
  <c r="C55" i="57"/>
  <c r="C56" i="57"/>
  <c r="C57" i="57"/>
  <c r="C58" i="57"/>
  <c r="C59" i="57"/>
  <c r="C60" i="57"/>
  <c r="C61" i="57"/>
  <c r="C62" i="57"/>
  <c r="C63" i="57"/>
  <c r="C64" i="57"/>
  <c r="C65" i="57"/>
  <c r="C66" i="57"/>
  <c r="C67" i="57"/>
  <c r="C68" i="57"/>
  <c r="C69" i="57"/>
  <c r="C70" i="57"/>
  <c r="H42" i="61"/>
  <c r="H43" i="61"/>
  <c r="H44" i="61"/>
  <c r="H45" i="61"/>
  <c r="H46" i="61"/>
  <c r="H47" i="61"/>
  <c r="H48" i="61"/>
  <c r="H49" i="61"/>
  <c r="H50" i="61"/>
  <c r="H51" i="61"/>
  <c r="H52" i="61"/>
  <c r="H53" i="61"/>
  <c r="H54" i="61"/>
  <c r="H55" i="61"/>
  <c r="H56" i="61"/>
  <c r="H57" i="61"/>
  <c r="H58" i="61"/>
  <c r="H59" i="61"/>
  <c r="H60" i="61"/>
  <c r="H61" i="61"/>
  <c r="H62" i="61"/>
  <c r="H63" i="61"/>
  <c r="H64" i="61"/>
  <c r="H65" i="61"/>
  <c r="H66" i="61"/>
  <c r="C71" i="57" s="1"/>
  <c r="H183" i="61"/>
  <c r="H41" i="61"/>
  <c r="G17" i="60"/>
  <c r="G18" i="60"/>
  <c r="G19" i="60"/>
  <c r="G16" i="60"/>
  <c r="Q47" i="57"/>
  <c r="R47" i="57"/>
  <c r="S47" i="57"/>
  <c r="Q48" i="57"/>
  <c r="R48" i="57"/>
  <c r="S48" i="57"/>
  <c r="Q49" i="57"/>
  <c r="R49" i="57"/>
  <c r="S49" i="57"/>
  <c r="Q50" i="57"/>
  <c r="R50" i="57"/>
  <c r="S50" i="57"/>
  <c r="Q51" i="57"/>
  <c r="R51" i="57"/>
  <c r="S51" i="57"/>
  <c r="Q52" i="57"/>
  <c r="R52" i="57"/>
  <c r="S52" i="57"/>
  <c r="Q53" i="57"/>
  <c r="R53" i="57"/>
  <c r="S53" i="57"/>
  <c r="Q54" i="57"/>
  <c r="R54" i="57"/>
  <c r="S54" i="57"/>
  <c r="Q55" i="57"/>
  <c r="R55" i="57"/>
  <c r="S55" i="57"/>
  <c r="Q56" i="57"/>
  <c r="R56" i="57"/>
  <c r="S56" i="57"/>
  <c r="Q57" i="57"/>
  <c r="R57" i="57"/>
  <c r="S57" i="57"/>
  <c r="Q58" i="57"/>
  <c r="R58" i="57"/>
  <c r="S58" i="57"/>
  <c r="Q59" i="57"/>
  <c r="R59" i="57"/>
  <c r="S59" i="57"/>
  <c r="Q60" i="57"/>
  <c r="R60" i="57"/>
  <c r="S60" i="57"/>
  <c r="Q61" i="57"/>
  <c r="R61" i="57"/>
  <c r="S61" i="57"/>
  <c r="Q62" i="57"/>
  <c r="R62" i="57"/>
  <c r="S62" i="57"/>
  <c r="Q63" i="57"/>
  <c r="R63" i="57"/>
  <c r="S63" i="57"/>
  <c r="Q64" i="57"/>
  <c r="R64" i="57"/>
  <c r="S64" i="57"/>
  <c r="Q65" i="57"/>
  <c r="R65" i="57"/>
  <c r="S65" i="57"/>
  <c r="Q66" i="57"/>
  <c r="R66" i="57"/>
  <c r="S66" i="57"/>
  <c r="Q67" i="57"/>
  <c r="R67" i="57"/>
  <c r="S67" i="57"/>
  <c r="Q68" i="57"/>
  <c r="R68" i="57"/>
  <c r="S68" i="57"/>
  <c r="Q69" i="57"/>
  <c r="R69" i="57"/>
  <c r="S69" i="57"/>
  <c r="Q70" i="57"/>
  <c r="R70" i="57"/>
  <c r="S70" i="57"/>
  <c r="Q71" i="57"/>
  <c r="R71" i="57"/>
  <c r="S71" i="57"/>
  <c r="P47" i="57"/>
  <c r="P48" i="57"/>
  <c r="P49" i="57"/>
  <c r="P50" i="57"/>
  <c r="P51" i="57"/>
  <c r="P52" i="57"/>
  <c r="P53" i="57"/>
  <c r="P54" i="57"/>
  <c r="P55" i="57"/>
  <c r="P56" i="57"/>
  <c r="P57" i="57"/>
  <c r="P58" i="57"/>
  <c r="P59" i="57"/>
  <c r="P60" i="57"/>
  <c r="P61" i="57"/>
  <c r="P62" i="57"/>
  <c r="P63" i="57"/>
  <c r="P64" i="57"/>
  <c r="P65" i="57"/>
  <c r="P66" i="57"/>
  <c r="P67" i="57"/>
  <c r="P68" i="57"/>
  <c r="P69" i="57"/>
  <c r="P70" i="57"/>
  <c r="P71" i="57"/>
  <c r="O47" i="57"/>
  <c r="O48" i="57"/>
  <c r="O49" i="57"/>
  <c r="O50" i="57"/>
  <c r="O51" i="57"/>
  <c r="O52" i="57"/>
  <c r="O53" i="57"/>
  <c r="O54" i="57"/>
  <c r="O55" i="57"/>
  <c r="O56" i="57"/>
  <c r="O57" i="57"/>
  <c r="O58" i="57"/>
  <c r="O59" i="57"/>
  <c r="O60" i="57"/>
  <c r="O61" i="57"/>
  <c r="O62" i="57"/>
  <c r="O63" i="57"/>
  <c r="O64" i="57"/>
  <c r="O65" i="57"/>
  <c r="O66" i="57"/>
  <c r="O67" i="57"/>
  <c r="O68" i="57"/>
  <c r="O69" i="57"/>
  <c r="O70" i="57"/>
  <c r="O71" i="57"/>
  <c r="N47" i="57"/>
  <c r="N48" i="57"/>
  <c r="N49" i="57"/>
  <c r="N50" i="57"/>
  <c r="N51" i="57"/>
  <c r="N52" i="57"/>
  <c r="N53" i="57"/>
  <c r="N54" i="57"/>
  <c r="N55" i="57"/>
  <c r="N56" i="57"/>
  <c r="N57" i="57"/>
  <c r="N58" i="57"/>
  <c r="N59" i="57"/>
  <c r="N60" i="57"/>
  <c r="N61" i="57"/>
  <c r="N62" i="57"/>
  <c r="N63" i="57"/>
  <c r="N64" i="57"/>
  <c r="N65" i="57"/>
  <c r="N66" i="57"/>
  <c r="N67" i="57"/>
  <c r="N68" i="57"/>
  <c r="N69" i="57"/>
  <c r="N70" i="57"/>
  <c r="N71" i="57"/>
  <c r="M47" i="57"/>
  <c r="M48" i="57"/>
  <c r="M49" i="57"/>
  <c r="M50" i="57"/>
  <c r="M51" i="57"/>
  <c r="M52" i="57"/>
  <c r="M53" i="57"/>
  <c r="M54" i="57"/>
  <c r="M55" i="57"/>
  <c r="M56" i="57"/>
  <c r="M57" i="57"/>
  <c r="M58" i="57"/>
  <c r="M59" i="57"/>
  <c r="M60" i="57"/>
  <c r="M61" i="57"/>
  <c r="M62" i="57"/>
  <c r="M63" i="57"/>
  <c r="M64" i="57"/>
  <c r="M65" i="57"/>
  <c r="M66" i="57"/>
  <c r="M67" i="57"/>
  <c r="M68" i="57"/>
  <c r="M69" i="57"/>
  <c r="M70" i="57"/>
  <c r="M71" i="57"/>
  <c r="L47" i="57"/>
  <c r="L48" i="57"/>
  <c r="L49" i="57"/>
  <c r="L50" i="57"/>
  <c r="L51" i="57"/>
  <c r="L52" i="57"/>
  <c r="L53" i="57"/>
  <c r="L54" i="57"/>
  <c r="L55" i="57"/>
  <c r="L56" i="57"/>
  <c r="L57" i="57"/>
  <c r="L58" i="57"/>
  <c r="L59" i="57"/>
  <c r="L60" i="57"/>
  <c r="L61" i="57"/>
  <c r="L62" i="57"/>
  <c r="L63" i="57"/>
  <c r="L64" i="57"/>
  <c r="L65" i="57"/>
  <c r="L66" i="57"/>
  <c r="L67" i="57"/>
  <c r="L68" i="57"/>
  <c r="L69" i="57"/>
  <c r="L70" i="57"/>
  <c r="L71" i="57"/>
  <c r="F23" i="57"/>
  <c r="F24" i="57"/>
  <c r="F25" i="57"/>
  <c r="F26" i="57"/>
  <c r="F27" i="57"/>
  <c r="F28" i="57"/>
  <c r="F29" i="57"/>
  <c r="F30" i="57"/>
  <c r="F31" i="57"/>
  <c r="F32" i="57"/>
  <c r="F33" i="57"/>
  <c r="F34" i="57"/>
  <c r="F35" i="57"/>
  <c r="F36" i="57"/>
  <c r="F37" i="57"/>
  <c r="F38" i="57"/>
  <c r="F39" i="57"/>
  <c r="F40" i="57"/>
  <c r="F41" i="57"/>
  <c r="F42" i="57"/>
  <c r="F43" i="57"/>
  <c r="F44" i="57"/>
  <c r="F45" i="57"/>
  <c r="F46" i="57"/>
  <c r="F22" i="57"/>
  <c r="G4" i="57"/>
  <c r="H247" i="61"/>
  <c r="H127" i="61"/>
  <c r="Y46" i="57" l="1"/>
  <c r="Z46" i="57"/>
  <c r="AA46" i="57"/>
  <c r="X46" i="57"/>
  <c r="U46" i="57"/>
  <c r="V46" i="57"/>
  <c r="W46" i="57"/>
  <c r="T46" i="57"/>
  <c r="Y45" i="57"/>
  <c r="Z45" i="57"/>
  <c r="AA45" i="57"/>
  <c r="X45" i="57"/>
  <c r="U45" i="57"/>
  <c r="V45" i="57"/>
  <c r="W45" i="57"/>
  <c r="T45" i="57"/>
  <c r="Y44" i="57"/>
  <c r="Z44" i="57"/>
  <c r="AA44" i="57"/>
  <c r="X44" i="57"/>
  <c r="U44" i="57"/>
  <c r="V44" i="57"/>
  <c r="W44" i="57"/>
  <c r="T44" i="57"/>
  <c r="Y43" i="57"/>
  <c r="Z43" i="57"/>
  <c r="AA43" i="57"/>
  <c r="X43" i="57"/>
  <c r="U43" i="57"/>
  <c r="V43" i="57"/>
  <c r="W43" i="57"/>
  <c r="T43" i="57"/>
  <c r="Y42" i="57"/>
  <c r="Z42" i="57"/>
  <c r="AA42" i="57"/>
  <c r="X42" i="57"/>
  <c r="U42" i="57"/>
  <c r="V42" i="57"/>
  <c r="W42" i="57"/>
  <c r="T42" i="57"/>
  <c r="Y41" i="57"/>
  <c r="Z41" i="57"/>
  <c r="AA41" i="57"/>
  <c r="X41" i="57"/>
  <c r="U41" i="57"/>
  <c r="V41" i="57"/>
  <c r="W41" i="57"/>
  <c r="T41" i="57"/>
  <c r="Y40" i="57"/>
  <c r="Z40" i="57"/>
  <c r="AA40" i="57"/>
  <c r="X40" i="57"/>
  <c r="U40" i="57"/>
  <c r="V40" i="57"/>
  <c r="W40" i="57"/>
  <c r="T40" i="57"/>
  <c r="Y39" i="57"/>
  <c r="Z39" i="57"/>
  <c r="AA39" i="57"/>
  <c r="X39" i="57"/>
  <c r="U39" i="57"/>
  <c r="V39" i="57"/>
  <c r="W39" i="57"/>
  <c r="T39" i="57"/>
  <c r="Y38" i="57"/>
  <c r="Y72" i="57" s="1"/>
  <c r="Z38" i="57"/>
  <c r="Z72" i="57" s="1"/>
  <c r="AA38" i="57"/>
  <c r="AA72" i="57" s="1"/>
  <c r="X38" i="57"/>
  <c r="X72" i="57" s="1"/>
  <c r="U38" i="57"/>
  <c r="V38" i="57"/>
  <c r="W38" i="57"/>
  <c r="T38" i="57"/>
  <c r="U71" i="57"/>
  <c r="U72" i="57" s="1"/>
  <c r="V71" i="57"/>
  <c r="V72" i="57" s="1"/>
  <c r="W71" i="57"/>
  <c r="W72" i="57" s="1"/>
  <c r="T71" i="57"/>
  <c r="AB70" i="57"/>
  <c r="AB69" i="57"/>
  <c r="AB68" i="57"/>
  <c r="AB67" i="57"/>
  <c r="AB66" i="57"/>
  <c r="AB65" i="57"/>
  <c r="AB64" i="57"/>
  <c r="AB63" i="57"/>
  <c r="AB62" i="57"/>
  <c r="AB61" i="57"/>
  <c r="AB60" i="57"/>
  <c r="AB59" i="57"/>
  <c r="AB58" i="57"/>
  <c r="AB57" i="57"/>
  <c r="AB56" i="57"/>
  <c r="AB55" i="57"/>
  <c r="AB54" i="57"/>
  <c r="AB53" i="57"/>
  <c r="AB52" i="57"/>
  <c r="AB51" i="57"/>
  <c r="AB50" i="57"/>
  <c r="AB49" i="57"/>
  <c r="AB48" i="57"/>
  <c r="AB47" i="57"/>
  <c r="K39" i="57"/>
  <c r="J39" i="57"/>
  <c r="I39" i="57"/>
  <c r="K37" i="57"/>
  <c r="J37" i="57"/>
  <c r="I37" i="57"/>
  <c r="K36" i="57"/>
  <c r="J36" i="57"/>
  <c r="I36" i="57"/>
  <c r="K35" i="57"/>
  <c r="J35" i="57"/>
  <c r="I35" i="57"/>
  <c r="K34" i="57"/>
  <c r="J34" i="57"/>
  <c r="I34" i="57"/>
  <c r="K33" i="57"/>
  <c r="J33" i="57"/>
  <c r="I33" i="57"/>
  <c r="K32" i="57"/>
  <c r="J32" i="57"/>
  <c r="I32" i="57"/>
  <c r="K31" i="57"/>
  <c r="J31" i="57"/>
  <c r="I31" i="57"/>
  <c r="K30" i="57"/>
  <c r="J30" i="57"/>
  <c r="I30" i="57"/>
  <c r="K29" i="57"/>
  <c r="J29" i="57"/>
  <c r="I29" i="57"/>
  <c r="K46" i="57"/>
  <c r="J46" i="57"/>
  <c r="I46" i="57"/>
  <c r="K45" i="57"/>
  <c r="J45" i="57"/>
  <c r="I45" i="57"/>
  <c r="K44" i="57"/>
  <c r="J44" i="57"/>
  <c r="I44" i="57"/>
  <c r="K43" i="57"/>
  <c r="J43" i="57"/>
  <c r="I43" i="57"/>
  <c r="K42" i="57"/>
  <c r="J42" i="57"/>
  <c r="I42" i="57"/>
  <c r="K41" i="57"/>
  <c r="J41" i="57"/>
  <c r="I41" i="57"/>
  <c r="K40" i="57"/>
  <c r="J40" i="57"/>
  <c r="I40" i="57"/>
  <c r="Q78" i="57"/>
  <c r="R78" i="57"/>
  <c r="P78" i="57"/>
  <c r="N78" i="57"/>
  <c r="O78" i="57"/>
  <c r="K78" i="57"/>
  <c r="M6" i="61"/>
  <c r="Q22" i="57"/>
  <c r="R22" i="57"/>
  <c r="S22" i="57"/>
  <c r="P22" i="57"/>
  <c r="M22" i="57"/>
  <c r="N22" i="57"/>
  <c r="O22" i="57"/>
  <c r="L22" i="57"/>
  <c r="O46" i="57"/>
  <c r="N46" i="57"/>
  <c r="M46" i="57"/>
  <c r="L46" i="57"/>
  <c r="O45" i="57"/>
  <c r="N45" i="57"/>
  <c r="M45" i="57"/>
  <c r="L45" i="57"/>
  <c r="O44" i="57"/>
  <c r="N44" i="57"/>
  <c r="M44" i="57"/>
  <c r="L44" i="57"/>
  <c r="O43" i="57"/>
  <c r="N43" i="57"/>
  <c r="M43" i="57"/>
  <c r="L43" i="57"/>
  <c r="O42" i="57"/>
  <c r="N42" i="57"/>
  <c r="M42" i="57"/>
  <c r="L42" i="57"/>
  <c r="O41" i="57"/>
  <c r="N41" i="57"/>
  <c r="M41" i="57"/>
  <c r="L41" i="57"/>
  <c r="Q40" i="57"/>
  <c r="R40" i="57"/>
  <c r="S40" i="57"/>
  <c r="P40" i="57"/>
  <c r="Q39" i="57"/>
  <c r="R39" i="57"/>
  <c r="S39" i="57"/>
  <c r="P39" i="57"/>
  <c r="Q38" i="57"/>
  <c r="R38" i="57"/>
  <c r="S38" i="57"/>
  <c r="P38" i="57"/>
  <c r="Q37" i="57"/>
  <c r="R37" i="57"/>
  <c r="S37" i="57"/>
  <c r="P37" i="57"/>
  <c r="Q36" i="57"/>
  <c r="R36" i="57"/>
  <c r="S36" i="57"/>
  <c r="P36" i="57"/>
  <c r="Q35" i="57"/>
  <c r="R35" i="57"/>
  <c r="S35" i="57"/>
  <c r="P35" i="57"/>
  <c r="Q34" i="57"/>
  <c r="R34" i="57"/>
  <c r="S34" i="57"/>
  <c r="P34" i="57"/>
  <c r="Q33" i="57"/>
  <c r="R33" i="57"/>
  <c r="S33" i="57"/>
  <c r="P33" i="57"/>
  <c r="Q32" i="57"/>
  <c r="R32" i="57"/>
  <c r="S32" i="57"/>
  <c r="P32" i="57"/>
  <c r="Q31" i="57"/>
  <c r="R31" i="57"/>
  <c r="S31" i="57"/>
  <c r="P31" i="57"/>
  <c r="Q30" i="57"/>
  <c r="R30" i="57"/>
  <c r="S30" i="57"/>
  <c r="P30" i="57"/>
  <c r="Q29" i="57"/>
  <c r="R29" i="57"/>
  <c r="S29" i="57"/>
  <c r="P29" i="57"/>
  <c r="Q28" i="57"/>
  <c r="R28" i="57"/>
  <c r="S28" i="57"/>
  <c r="P28" i="57"/>
  <c r="O28" i="57"/>
  <c r="N28" i="57"/>
  <c r="M28" i="57"/>
  <c r="L28" i="57"/>
  <c r="Q27" i="57"/>
  <c r="R27" i="57"/>
  <c r="S27" i="57"/>
  <c r="P27" i="57"/>
  <c r="O27" i="57"/>
  <c r="N27" i="57"/>
  <c r="M27" i="57"/>
  <c r="L27" i="57"/>
  <c r="Q26" i="57"/>
  <c r="R26" i="57"/>
  <c r="S26" i="57"/>
  <c r="P26" i="57"/>
  <c r="O26" i="57"/>
  <c r="N26" i="57"/>
  <c r="M26" i="57"/>
  <c r="L26" i="57"/>
  <c r="Q25" i="57"/>
  <c r="R25" i="57"/>
  <c r="S25" i="57"/>
  <c r="P25" i="57"/>
  <c r="O25" i="57"/>
  <c r="N25" i="57"/>
  <c r="M25" i="57"/>
  <c r="L25" i="57"/>
  <c r="Q24" i="57"/>
  <c r="R24" i="57"/>
  <c r="S24" i="57"/>
  <c r="P24" i="57"/>
  <c r="O24" i="57"/>
  <c r="N24" i="57"/>
  <c r="M24" i="57"/>
  <c r="L24" i="57"/>
  <c r="Q23" i="57"/>
  <c r="R23" i="57"/>
  <c r="S23" i="57"/>
  <c r="P23" i="57"/>
  <c r="O23" i="57"/>
  <c r="N23" i="57"/>
  <c r="M23" i="57"/>
  <c r="L23" i="57"/>
  <c r="C23" i="57"/>
  <c r="H18" i="61"/>
  <c r="H19" i="61"/>
  <c r="C25" i="57" s="1"/>
  <c r="H20" i="61"/>
  <c r="C26" i="57" s="1"/>
  <c r="H21" i="61"/>
  <c r="C27" i="57" s="1"/>
  <c r="H22" i="61"/>
  <c r="C28" i="57" s="1"/>
  <c r="H23" i="61"/>
  <c r="C29" i="57" s="1"/>
  <c r="H24" i="61"/>
  <c r="C30" i="57" s="1"/>
  <c r="H25" i="61"/>
  <c r="C31" i="57" s="1"/>
  <c r="H26" i="61"/>
  <c r="C32" i="57" s="1"/>
  <c r="H27" i="61"/>
  <c r="C33" i="57" s="1"/>
  <c r="H28" i="61"/>
  <c r="C34" i="57" s="1"/>
  <c r="H29" i="61"/>
  <c r="C35" i="57" s="1"/>
  <c r="H30" i="61"/>
  <c r="C36" i="57" s="1"/>
  <c r="H31" i="61"/>
  <c r="C37" i="57" s="1"/>
  <c r="H32" i="61"/>
  <c r="H33" i="61"/>
  <c r="C39" i="57" s="1"/>
  <c r="H34" i="61"/>
  <c r="C40" i="57" s="1"/>
  <c r="H35" i="61"/>
  <c r="C41" i="57" s="1"/>
  <c r="H36" i="61"/>
  <c r="C42" i="57" s="1"/>
  <c r="H37" i="61"/>
  <c r="C43" i="57" s="1"/>
  <c r="H38" i="61"/>
  <c r="C44" i="57" s="1"/>
  <c r="H39" i="61"/>
  <c r="C45" i="57" s="1"/>
  <c r="H40" i="61"/>
  <c r="C46" i="57" s="1"/>
  <c r="H16" i="61"/>
  <c r="C22" i="57" s="1"/>
  <c r="T72" i="57" l="1"/>
  <c r="AB71" i="57"/>
  <c r="C38" i="57"/>
  <c r="K38" i="57"/>
  <c r="J38" i="57"/>
  <c r="I38" i="57"/>
  <c r="K22" i="57"/>
  <c r="J22" i="57"/>
  <c r="I22" i="57"/>
  <c r="AB22" i="57" s="1"/>
  <c r="K28" i="57"/>
  <c r="J28" i="57"/>
  <c r="I28" i="57"/>
  <c r="AB28" i="57" s="1"/>
  <c r="K27" i="57"/>
  <c r="J27" i="57"/>
  <c r="I27" i="57"/>
  <c r="AB27" i="57" s="1"/>
  <c r="K26" i="57"/>
  <c r="J26" i="57"/>
  <c r="I26" i="57"/>
  <c r="AB26" i="57" s="1"/>
  <c r="K25" i="57"/>
  <c r="J25" i="57"/>
  <c r="I25" i="57"/>
  <c r="AB25" i="57" s="1"/>
  <c r="K23" i="57"/>
  <c r="J23" i="57"/>
  <c r="I23" i="57"/>
  <c r="AB23" i="57" s="1"/>
  <c r="M4" i="61"/>
  <c r="M7" i="61" s="1"/>
  <c r="C24" i="57"/>
  <c r="Q46" i="57"/>
  <c r="R46" i="57"/>
  <c r="S46" i="57"/>
  <c r="P46" i="57"/>
  <c r="AB46" i="57" s="1"/>
  <c r="Q45" i="57"/>
  <c r="R45" i="57"/>
  <c r="S45" i="57"/>
  <c r="P45" i="57"/>
  <c r="AB45" i="57" s="1"/>
  <c r="Q44" i="57"/>
  <c r="R44" i="57"/>
  <c r="S44" i="57"/>
  <c r="P44" i="57"/>
  <c r="AB44" i="57" s="1"/>
  <c r="Q43" i="57"/>
  <c r="R43" i="57"/>
  <c r="S43" i="57"/>
  <c r="P43" i="57"/>
  <c r="AB43" i="57" s="1"/>
  <c r="Q42" i="57"/>
  <c r="R42" i="57"/>
  <c r="S42" i="57"/>
  <c r="P42" i="57"/>
  <c r="AB42" i="57" s="1"/>
  <c r="Q41" i="57"/>
  <c r="Q72" i="57" s="1"/>
  <c r="R41" i="57"/>
  <c r="R72" i="57" s="1"/>
  <c r="S41" i="57"/>
  <c r="S72" i="57" s="1"/>
  <c r="P41" i="57"/>
  <c r="O40" i="57"/>
  <c r="N40" i="57"/>
  <c r="M40" i="57"/>
  <c r="L40" i="57"/>
  <c r="AB40" i="57" s="1"/>
  <c r="O39" i="57"/>
  <c r="N39" i="57"/>
  <c r="M39" i="57"/>
  <c r="L39" i="57"/>
  <c r="AB39" i="57" s="1"/>
  <c r="O38" i="57"/>
  <c r="N38" i="57"/>
  <c r="M38" i="57"/>
  <c r="L38" i="57"/>
  <c r="O37" i="57"/>
  <c r="N37" i="57"/>
  <c r="M37" i="57"/>
  <c r="L37" i="57"/>
  <c r="AB37" i="57" s="1"/>
  <c r="O36" i="57"/>
  <c r="N36" i="57"/>
  <c r="M36" i="57"/>
  <c r="L36" i="57"/>
  <c r="AB36" i="57" s="1"/>
  <c r="O35" i="57"/>
  <c r="N35" i="57"/>
  <c r="M35" i="57"/>
  <c r="L35" i="57"/>
  <c r="AB35" i="57" s="1"/>
  <c r="O34" i="57"/>
  <c r="N34" i="57"/>
  <c r="M34" i="57"/>
  <c r="L34" i="57"/>
  <c r="AB34" i="57" s="1"/>
  <c r="O33" i="57"/>
  <c r="N33" i="57"/>
  <c r="M33" i="57"/>
  <c r="L33" i="57"/>
  <c r="AB33" i="57" s="1"/>
  <c r="O32" i="57"/>
  <c r="N32" i="57"/>
  <c r="M32" i="57"/>
  <c r="L32" i="57"/>
  <c r="AB32" i="57" s="1"/>
  <c r="O31" i="57"/>
  <c r="N31" i="57"/>
  <c r="M31" i="57"/>
  <c r="L31" i="57"/>
  <c r="AB31" i="57" s="1"/>
  <c r="O30" i="57"/>
  <c r="N30" i="57"/>
  <c r="M30" i="57"/>
  <c r="L30" i="57"/>
  <c r="AB30" i="57" s="1"/>
  <c r="O29" i="57"/>
  <c r="O72" i="57" s="1"/>
  <c r="N29" i="57"/>
  <c r="N72" i="57" s="1"/>
  <c r="M29" i="57"/>
  <c r="M72" i="57" s="1"/>
  <c r="L29" i="57"/>
  <c r="I8" i="60"/>
  <c r="C3" i="58"/>
  <c r="D11" i="17"/>
  <c r="F10" i="17"/>
  <c r="E11" i="17"/>
  <c r="F11" i="17"/>
  <c r="H11" i="17"/>
  <c r="N11" i="17"/>
  <c r="N10" i="17"/>
  <c r="J10" i="61"/>
  <c r="J8" i="61" s="1"/>
  <c r="H251" i="61"/>
  <c r="J5" i="61"/>
  <c r="F5" i="61" s="1"/>
  <c r="E9" i="60"/>
  <c r="E8" i="2"/>
  <c r="G64" i="2"/>
  <c r="G73" i="60"/>
  <c r="G16" i="2"/>
  <c r="G17" i="2"/>
  <c r="G18" i="2"/>
  <c r="G19" i="2"/>
  <c r="G27" i="2" s="1"/>
  <c r="G28" i="2" s="1"/>
  <c r="G20" i="2"/>
  <c r="G21" i="2"/>
  <c r="G22" i="2"/>
  <c r="G23" i="2"/>
  <c r="G15" i="2"/>
  <c r="I8" i="2"/>
  <c r="M8" i="60"/>
  <c r="M10" i="60" s="1"/>
  <c r="N11" i="60" s="1"/>
  <c r="G69" i="60"/>
  <c r="G42" i="60"/>
  <c r="E5" i="60"/>
  <c r="E4" i="60"/>
  <c r="B25" i="58"/>
  <c r="D41" i="58"/>
  <c r="E41" i="58"/>
  <c r="F41" i="58"/>
  <c r="G41" i="58"/>
  <c r="C41" i="58"/>
  <c r="H26" i="58"/>
  <c r="H27" i="58"/>
  <c r="H28" i="58"/>
  <c r="H29" i="58"/>
  <c r="H30" i="58"/>
  <c r="H31" i="58"/>
  <c r="H32" i="58"/>
  <c r="H33" i="58"/>
  <c r="H34" i="58"/>
  <c r="H35" i="58"/>
  <c r="H36" i="58"/>
  <c r="H37" i="58"/>
  <c r="H38" i="58"/>
  <c r="H39" i="58"/>
  <c r="H40" i="58"/>
  <c r="H25" i="58"/>
  <c r="I5" i="2"/>
  <c r="E5" i="2" s="1"/>
  <c r="B29" i="58"/>
  <c r="B28" i="58"/>
  <c r="B27" i="58"/>
  <c r="B26" i="58"/>
  <c r="C2" i="58"/>
  <c r="D29" i="40"/>
  <c r="C29" i="40"/>
  <c r="C7" i="40"/>
  <c r="C6" i="40"/>
  <c r="E10" i="33" a="1"/>
  <c r="L72" i="57" l="1"/>
  <c r="AB29" i="57"/>
  <c r="P72" i="57"/>
  <c r="AB41" i="57"/>
  <c r="C72" i="57"/>
  <c r="AB38" i="57"/>
  <c r="C7" i="57"/>
  <c r="G7" i="57" s="1"/>
  <c r="C78" i="57"/>
  <c r="C46" i="58"/>
  <c r="J78" i="57"/>
  <c r="M9" i="61"/>
  <c r="M8" i="61"/>
  <c r="K24" i="57"/>
  <c r="K72" i="57" s="1"/>
  <c r="J24" i="57"/>
  <c r="J72" i="57" s="1"/>
  <c r="I24" i="57"/>
  <c r="J5" i="60"/>
  <c r="H72" i="57"/>
  <c r="I78" i="57"/>
  <c r="L78" i="57"/>
  <c r="M78" i="57"/>
  <c r="S78" i="57"/>
  <c r="G25" i="2"/>
  <c r="G25" i="60"/>
  <c r="G27" i="60" s="1"/>
  <c r="G28" i="60" s="1"/>
  <c r="G71" i="60" s="1"/>
  <c r="H41" i="58"/>
  <c r="E10" i="33"/>
  <c r="E4" i="2"/>
  <c r="E6" i="40" s="1"/>
  <c r="F54" i="56"/>
  <c r="AB78" i="57" l="1"/>
  <c r="I72" i="57"/>
  <c r="AB24" i="57"/>
  <c r="N8" i="61"/>
  <c r="G26" i="2"/>
  <c r="G29" i="2"/>
  <c r="F74" i="60"/>
  <c r="F54" i="43"/>
  <c r="B12" i="2"/>
  <c r="D9" i="40"/>
  <c r="E7" i="40"/>
  <c r="D12" i="17" a="1"/>
  <c r="D13" i="17" a="1"/>
  <c r="N14" i="17" a="1"/>
  <c r="N13" i="17" a="1"/>
  <c r="D14" i="17" a="1"/>
  <c r="N12" i="17" a="1"/>
  <c r="G74" i="60" l="1"/>
  <c r="J11" i="17"/>
  <c r="H73" i="60"/>
  <c r="H71" i="60"/>
  <c r="D16" i="40"/>
  <c r="D12" i="17"/>
  <c r="D14" i="17"/>
  <c r="D13" i="17"/>
  <c r="F16" i="40"/>
  <c r="H16" i="40"/>
  <c r="G16" i="40"/>
  <c r="E16" i="40"/>
  <c r="N12" i="17"/>
  <c r="N14" i="17"/>
  <c r="N13" i="17"/>
  <c r="L11" i="17" l="1"/>
  <c r="G76" i="60"/>
  <c r="H77" i="60" s="1"/>
  <c r="H22" i="40"/>
  <c r="G22" i="40"/>
  <c r="F22" i="40"/>
  <c r="E22" i="40"/>
  <c r="D22" i="40"/>
  <c r="F58" i="56"/>
  <c r="F40" i="56"/>
  <c r="F25" i="56"/>
  <c r="E25" i="56"/>
  <c r="F22" i="56"/>
  <c r="F21" i="56"/>
  <c r="F20" i="56"/>
  <c r="F19" i="56"/>
  <c r="F18" i="56"/>
  <c r="F17" i="56"/>
  <c r="F16" i="56"/>
  <c r="F15" i="56"/>
  <c r="F14" i="56"/>
  <c r="B11" i="56"/>
  <c r="C5" i="56"/>
  <c r="C4" i="56"/>
  <c r="C3" i="56"/>
  <c r="C5" i="45"/>
  <c r="C22" i="40" l="1"/>
  <c r="F23" i="56"/>
  <c r="F26" i="56"/>
  <c r="C3" i="43"/>
  <c r="F58" i="46"/>
  <c r="F54" i="46"/>
  <c r="F40" i="46"/>
  <c r="F25" i="46"/>
  <c r="E25" i="46"/>
  <c r="F22" i="46"/>
  <c r="F21" i="46"/>
  <c r="F20" i="46"/>
  <c r="F19" i="46"/>
  <c r="F18" i="46"/>
  <c r="F17" i="46"/>
  <c r="F16" i="46"/>
  <c r="F15" i="46"/>
  <c r="F14" i="46"/>
  <c r="B11" i="46"/>
  <c r="C5" i="46"/>
  <c r="C4" i="46"/>
  <c r="C3" i="46"/>
  <c r="F58" i="45"/>
  <c r="F54" i="45"/>
  <c r="F40" i="45"/>
  <c r="F25" i="45"/>
  <c r="E25" i="45"/>
  <c r="F22" i="45"/>
  <c r="F21" i="45"/>
  <c r="F20" i="45"/>
  <c r="F19" i="45"/>
  <c r="F18" i="45"/>
  <c r="F17" i="45"/>
  <c r="F16" i="45"/>
  <c r="F15" i="45"/>
  <c r="F14" i="45"/>
  <c r="B11" i="45"/>
  <c r="C4" i="45"/>
  <c r="C3" i="45"/>
  <c r="C4" i="43"/>
  <c r="C5" i="43"/>
  <c r="F58" i="43"/>
  <c r="F40" i="43"/>
  <c r="E25" i="43"/>
  <c r="F22" i="43"/>
  <c r="F21" i="43"/>
  <c r="F20" i="43"/>
  <c r="F19" i="43"/>
  <c r="F18" i="43"/>
  <c r="F17" i="43"/>
  <c r="F16" i="43"/>
  <c r="F15" i="43"/>
  <c r="F14" i="43"/>
  <c r="B11" i="43"/>
  <c r="C4" i="40"/>
  <c r="C3" i="40"/>
  <c r="F56" i="56" l="1"/>
  <c r="F59" i="56" s="1"/>
  <c r="G56" i="56"/>
  <c r="F23" i="45"/>
  <c r="F23" i="46"/>
  <c r="E59" i="56"/>
  <c r="F26" i="45"/>
  <c r="F26" i="46"/>
  <c r="F56" i="46" s="1"/>
  <c r="G58" i="46" s="1"/>
  <c r="F23" i="43"/>
  <c r="F25" i="43" s="1"/>
  <c r="F26" i="43" s="1"/>
  <c r="J14" i="17" a="1"/>
  <c r="J12" i="17" a="1"/>
  <c r="F56" i="43" l="1"/>
  <c r="G56" i="46"/>
  <c r="F56" i="45"/>
  <c r="G58" i="45" s="1"/>
  <c r="J14" i="17"/>
  <c r="F61" i="56"/>
  <c r="G58" i="56"/>
  <c r="G58" i="43"/>
  <c r="J12" i="17"/>
  <c r="F59" i="46"/>
  <c r="E59" i="46"/>
  <c r="E59" i="43"/>
  <c r="F59" i="43"/>
  <c r="T15" i="17"/>
  <c r="E59" i="45" l="1"/>
  <c r="F59" i="45"/>
  <c r="G56" i="45"/>
  <c r="G56" i="43"/>
  <c r="F61" i="46"/>
  <c r="F61" i="45"/>
  <c r="R14" i="17"/>
  <c r="H24" i="40" s="1"/>
  <c r="H14" i="17" a="1"/>
  <c r="H14" i="17" s="1"/>
  <c r="H17" i="40" s="1"/>
  <c r="H20" i="40"/>
  <c r="H23" i="40" s="1"/>
  <c r="P14" i="17"/>
  <c r="G62" i="56"/>
  <c r="F61" i="43"/>
  <c r="F20" i="40"/>
  <c r="F23" i="40" s="1"/>
  <c r="H12" i="17" a="1"/>
  <c r="H12" i="17" s="1"/>
  <c r="F17" i="40" s="1"/>
  <c r="R12" i="17"/>
  <c r="F24" i="40" s="1"/>
  <c r="C2" i="40"/>
  <c r="J13" i="17" a="1"/>
  <c r="J13" i="17" l="1"/>
  <c r="G62" i="45"/>
  <c r="G62" i="46"/>
  <c r="H21" i="40"/>
  <c r="H28" i="40" s="1"/>
  <c r="T14" i="17"/>
  <c r="T11" i="17"/>
  <c r="G62" i="43"/>
  <c r="P11" i="17"/>
  <c r="E21" i="40" l="1"/>
  <c r="E28" i="40" s="1"/>
  <c r="H13" i="17" a="1"/>
  <c r="H13" i="17" s="1"/>
  <c r="G17" i="40" s="1"/>
  <c r="G20" i="40"/>
  <c r="G23" i="40" s="1"/>
  <c r="R13" i="17"/>
  <c r="G24" i="40" s="1"/>
  <c r="E20" i="40"/>
  <c r="E23" i="40" s="1"/>
  <c r="R11" i="17"/>
  <c r="E24" i="40" s="1"/>
  <c r="H32" i="40"/>
  <c r="E17" i="40" l="1"/>
  <c r="E32" i="40"/>
  <c r="P13" i="17"/>
  <c r="G21" i="40"/>
  <c r="T13" i="17"/>
  <c r="P12" i="17"/>
  <c r="F21" i="40"/>
  <c r="T12" i="17"/>
  <c r="N16" i="17"/>
  <c r="F28" i="40" l="1"/>
  <c r="F32" i="40"/>
  <c r="G28" i="40"/>
  <c r="G32" i="40"/>
  <c r="C12" i="40"/>
  <c r="D12" i="40" s="1"/>
  <c r="F26" i="2" l="1"/>
  <c r="G58" i="2" l="1"/>
  <c r="G44" i="2"/>
  <c r="G60" i="2" l="1"/>
  <c r="F65" i="2" s="1"/>
  <c r="H64" i="2" l="1"/>
  <c r="G65" i="2"/>
  <c r="G67" i="2" s="1"/>
  <c r="H68" i="2" s="1"/>
  <c r="H60" i="2"/>
  <c r="D20" i="40"/>
  <c r="D23" i="40" s="1"/>
  <c r="H46" i="58" l="1"/>
  <c r="C20" i="40"/>
  <c r="C23" i="40" s="1"/>
  <c r="D17" i="40"/>
  <c r="D21" i="40"/>
  <c r="D28" i="40" s="1"/>
  <c r="F17" i="17"/>
  <c r="D32" i="40" l="1"/>
  <c r="D24" i="40"/>
  <c r="H67" i="61" l="1"/>
  <c r="H69" i="61" s="1"/>
  <c r="H70" i="61" s="1"/>
  <c r="H249" i="61" s="1"/>
  <c r="G252" i="61" l="1"/>
  <c r="H252" i="61"/>
  <c r="I251" i="61"/>
  <c r="J10" i="17"/>
  <c r="I249" i="61"/>
  <c r="H254" i="61" l="1"/>
  <c r="I255" i="61"/>
  <c r="L10" i="17"/>
  <c r="C6" i="57"/>
  <c r="AB72" i="57"/>
  <c r="AC72" i="57" s="1"/>
  <c r="C5" i="40" a="1"/>
  <c r="C5" i="40" s="1"/>
  <c r="R10" i="17"/>
  <c r="J16" i="17"/>
  <c r="T10" i="17" l="1"/>
  <c r="L16" i="17"/>
  <c r="P10" i="17"/>
  <c r="C8" i="57" l="1"/>
  <c r="C77" i="57"/>
  <c r="P16" i="17"/>
  <c r="C21" i="40"/>
  <c r="R16" i="17"/>
  <c r="C24" i="40" s="1"/>
  <c r="X77" i="57" l="1"/>
  <c r="X106" i="57" s="1"/>
  <c r="AA77" i="57"/>
  <c r="AA106" i="57" s="1"/>
  <c r="Z77" i="57"/>
  <c r="Z106" i="57" s="1"/>
  <c r="Y77" i="57"/>
  <c r="Y106" i="57" s="1"/>
  <c r="W77" i="57"/>
  <c r="W106" i="57" s="1"/>
  <c r="V77" i="57"/>
  <c r="V106" i="57" s="1"/>
  <c r="U77" i="57"/>
  <c r="U106" i="57" s="1"/>
  <c r="T77" i="57"/>
  <c r="T106" i="57" s="1"/>
  <c r="B32" i="40"/>
  <c r="C28" i="40"/>
  <c r="D33" i="40" s="1"/>
  <c r="I77" i="57"/>
  <c r="J77" i="57"/>
  <c r="J106" i="57" s="1"/>
  <c r="K77" i="57"/>
  <c r="K106" i="57" s="1"/>
  <c r="L77" i="57"/>
  <c r="L106" i="57" s="1"/>
  <c r="M77" i="57"/>
  <c r="M106" i="57" s="1"/>
  <c r="N77" i="57"/>
  <c r="N106" i="57" s="1"/>
  <c r="O77" i="57"/>
  <c r="O106" i="57" s="1"/>
  <c r="P77" i="57"/>
  <c r="P106" i="57" s="1"/>
  <c r="Q77" i="57"/>
  <c r="Q106" i="57" s="1"/>
  <c r="R77" i="57"/>
  <c r="R106" i="57" s="1"/>
  <c r="S77" i="57"/>
  <c r="S106" i="57" s="1"/>
  <c r="AB77" i="57" l="1"/>
  <c r="I106" i="57"/>
  <c r="AC77" i="57" l="1"/>
  <c r="AB106" i="57"/>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2">
    <bk>
      <extLst>
        <ext uri="{3e2802c4-a4d2-4d8b-9148-e3be6c30e623}">
          <xlrd:rvb i="0"/>
        </ext>
      </extLst>
    </bk>
    <bk>
      <extLst>
        <ext uri="{3e2802c4-a4d2-4d8b-9148-e3be6c30e623}">
          <xlrd:rvb i="1"/>
        </ext>
      </extLst>
    </bk>
  </futureMetadata>
  <cellMetadata count="1">
    <bk>
      <rc t="1" v="0"/>
    </bk>
  </cellMetadata>
  <valueMetadata count="2">
    <bk>
      <rc t="2" v="0"/>
    </bk>
    <bk>
      <rc t="2" v="1"/>
    </bk>
  </valueMetadata>
</metadata>
</file>

<file path=xl/sharedStrings.xml><?xml version="1.0" encoding="utf-8"?>
<sst xmlns="http://schemas.openxmlformats.org/spreadsheetml/2006/main" count="1098" uniqueCount="357">
  <si>
    <t>Aanvraagnummer:</t>
  </si>
  <si>
    <t>Titel:</t>
  </si>
  <si>
    <t>Penvoerder :</t>
  </si>
  <si>
    <t xml:space="preserve">Aantal partners (inclusief penvoerder): </t>
  </si>
  <si>
    <t>Startdatum project:</t>
  </si>
  <si>
    <t>Eindatum project:</t>
  </si>
  <si>
    <t>Datum verlening:</t>
  </si>
  <si>
    <t>Maximale subsidie:</t>
  </si>
  <si>
    <t>Totaal gevraagd:</t>
  </si>
  <si>
    <t>OVERZICHT INVOER</t>
  </si>
  <si>
    <t>Deelnemer:</t>
  </si>
  <si>
    <t>Totaal</t>
  </si>
  <si>
    <t>A1 / P</t>
  </si>
  <si>
    <t>A2</t>
  </si>
  <si>
    <t>A3</t>
  </si>
  <si>
    <t>A4</t>
  </si>
  <si>
    <t>A5</t>
  </si>
  <si>
    <t>Organisatiesoort:</t>
  </si>
  <si>
    <t>n.v.t.</t>
  </si>
  <si>
    <t>Kostensystematiek:</t>
  </si>
  <si>
    <t>OVERZICHT BEGROTING (gelijk aan tabblad totaalbegroting)</t>
  </si>
  <si>
    <t>Projectkosten</t>
  </si>
  <si>
    <t>Gevraagde subsidie</t>
  </si>
  <si>
    <t>Percentage (gevraagd / kosten)</t>
  </si>
  <si>
    <t>Eigenaandeel</t>
  </si>
  <si>
    <t>,</t>
  </si>
  <si>
    <t>VOORSCHOT EN BETAALDATUM</t>
  </si>
  <si>
    <t>90% Voorschotbedrag:</t>
  </si>
  <si>
    <t>Betaaldatum</t>
  </si>
  <si>
    <t>EVENTUELE FOUTMELDING</t>
  </si>
  <si>
    <t>Openstellingsdatum:</t>
  </si>
  <si>
    <t>List name = Organisation type</t>
  </si>
  <si>
    <t>List name = Cost system</t>
  </si>
  <si>
    <t>Applicant</t>
  </si>
  <si>
    <t>Afgekort</t>
  </si>
  <si>
    <t>Tabblad namen</t>
  </si>
  <si>
    <t>[Choose]</t>
  </si>
  <si>
    <t>Applicant 1 - Penholder</t>
  </si>
  <si>
    <t>'Aanvrager 1 - Penvoerder'!</t>
  </si>
  <si>
    <t>Small company</t>
  </si>
  <si>
    <t>Applicant 2</t>
  </si>
  <si>
    <t>'A2'!</t>
  </si>
  <si>
    <t>Medium company</t>
  </si>
  <si>
    <t>Direct labour costs plus fixed surcharge (50%)</t>
  </si>
  <si>
    <t>Applicant 3</t>
  </si>
  <si>
    <t>'A3'!</t>
  </si>
  <si>
    <t>Large company</t>
  </si>
  <si>
    <t>Applicant 4</t>
  </si>
  <si>
    <t>'A4'!</t>
  </si>
  <si>
    <t>Applicant 5</t>
  </si>
  <si>
    <t>'A5'!</t>
  </si>
  <si>
    <t>was</t>
  </si>
  <si>
    <t>Ad</t>
  </si>
  <si>
    <t>Bovenstaande tabel wordt gebruikt voor de berekeningen op het tabblad 'totaalbegroting'. De tabblad namen moeten overeenkomen met de namen in deze tabel. Er wordt een INDIRECT() functie gebruikt.</t>
  </si>
  <si>
    <t>List name = Subsidy purpose</t>
  </si>
  <si>
    <t>List name = Cost system serial adaption</t>
  </si>
  <si>
    <t>List name = Cost system prototype development</t>
  </si>
  <si>
    <t>Serial adaption</t>
  </si>
  <si>
    <t>a. purchase and installation of software and hardware for the adaptation of the freight locomotive</t>
  </si>
  <si>
    <t>a. purchase and installation of software and hardware for the adaption of the freight locomotive</t>
  </si>
  <si>
    <t>Prototype development</t>
  </si>
  <si>
    <t>b. the unavailability of the freight locomotive (withdrawal) during the adaptation and development</t>
  </si>
  <si>
    <t>b. the unavailability of the freight locomotive (withdrawal) during the adaptation and development. Set on a year</t>
  </si>
  <si>
    <t>c. the vehicle permit due to the adaptation or development</t>
  </si>
  <si>
    <t>c. the vehicle permit</t>
  </si>
  <si>
    <t>List name = Maximum subsidy</t>
  </si>
  <si>
    <t>List name = Locomotive number</t>
  </si>
  <si>
    <r>
      <t>d.</t>
    </r>
    <r>
      <rPr>
        <sz val="7"/>
        <color rgb="FF000000"/>
        <rFont val="Arial Narrow"/>
        <family val="2"/>
      </rPr>
      <t xml:space="preserve"> developing the prototype (development)</t>
    </r>
  </si>
  <si>
    <t>LOC1</t>
  </si>
  <si>
    <t>LOC2</t>
  </si>
  <si>
    <t>LOC3</t>
  </si>
  <si>
    <t>List name = VAT</t>
  </si>
  <si>
    <t>LOC4</t>
  </si>
  <si>
    <t>LOC5</t>
  </si>
  <si>
    <t>Including VAT</t>
  </si>
  <si>
    <t>LOC6</t>
  </si>
  <si>
    <t>Excluding VAT</t>
  </si>
  <si>
    <t>LOC7</t>
  </si>
  <si>
    <t>LOC8</t>
  </si>
  <si>
    <t>LOC9</t>
  </si>
  <si>
    <t>LOC10</t>
  </si>
  <si>
    <t>LOC11</t>
  </si>
  <si>
    <t>LOC12</t>
  </si>
  <si>
    <t>LOC13</t>
  </si>
  <si>
    <t>LOC14</t>
  </si>
  <si>
    <t>LOC15</t>
  </si>
  <si>
    <t>LOC16</t>
  </si>
  <si>
    <t>LOC17</t>
  </si>
  <si>
    <t>LOC18</t>
  </si>
  <si>
    <t>LOC19</t>
  </si>
  <si>
    <t>LOC20</t>
  </si>
  <si>
    <t>LOC21</t>
  </si>
  <si>
    <t>LOC22</t>
  </si>
  <si>
    <t>LOC23</t>
  </si>
  <si>
    <t>LOC24</t>
  </si>
  <si>
    <t>LOC25</t>
  </si>
  <si>
    <t>LOC26</t>
  </si>
  <si>
    <t>LOC27</t>
  </si>
  <si>
    <t>LOC28</t>
  </si>
  <si>
    <t>LOC29</t>
  </si>
  <si>
    <t>LOC30</t>
  </si>
  <si>
    <t>LOC31</t>
  </si>
  <si>
    <t>LOC32</t>
  </si>
  <si>
    <t>LOC33</t>
  </si>
  <si>
    <t>LOC34</t>
  </si>
  <si>
    <t>LOC35</t>
  </si>
  <si>
    <t>LOC36</t>
  </si>
  <si>
    <t>LOC37</t>
  </si>
  <si>
    <t>LOC38</t>
  </si>
  <si>
    <t>LOC39</t>
  </si>
  <si>
    <t>LOC40</t>
  </si>
  <si>
    <t>LOC41</t>
  </si>
  <si>
    <t>LOC42</t>
  </si>
  <si>
    <t>LOC43</t>
  </si>
  <si>
    <t>LOC44</t>
  </si>
  <si>
    <t>LOC45</t>
  </si>
  <si>
    <t>LOC46</t>
  </si>
  <si>
    <t>LOC47</t>
  </si>
  <si>
    <t>LOC48</t>
  </si>
  <si>
    <t>LOC49</t>
  </si>
  <si>
    <t>LOC50</t>
  </si>
  <si>
    <t>Information and explanation for the format</t>
  </si>
  <si>
    <t>Budget Temporary subsidy scheme ERTMS freight locomotives</t>
  </si>
  <si>
    <t>Budget structure</t>
  </si>
  <si>
    <t xml:space="preserve">This budget consists of yellow and blue tabs: </t>
  </si>
  <si>
    <t xml:space="preserve">  - The yellow tabs are for you to enter your details. Choose the tab appropriate for you. Are you serially adapting a locomotive, then fill in the tab 'serial adaptation'. Are you developping a prototype, then fill in the tab 'Prototype development'.  You may fill in both. </t>
  </si>
  <si>
    <t xml:space="preserve">  - The blue tabs only contain information. You do not need to fill in anything here.</t>
  </si>
  <si>
    <r>
      <t xml:space="preserve">  - The tab 'Series' Liquidity Needs' should be filled in when the project's duration is </t>
    </r>
    <r>
      <rPr>
        <b/>
        <sz val="9"/>
        <rFont val="Verdana"/>
        <family val="2"/>
      </rPr>
      <t>longer than a year</t>
    </r>
    <r>
      <rPr>
        <sz val="9"/>
        <rFont val="Verdana"/>
        <family val="2"/>
      </rPr>
      <t>.</t>
    </r>
  </si>
  <si>
    <t>For every locomotive, indicate the eligible costs per expense item. Specify the activities involved.</t>
  </si>
  <si>
    <t xml:space="preserve">You can then copy the costs and subsidy (per locomotive) into the ERTMS application form. </t>
  </si>
  <si>
    <t>The blue fields will be filled in automatically, or by RVO at a later date.</t>
  </si>
  <si>
    <t>Order in which to fill in the tabs</t>
  </si>
  <si>
    <r>
      <rPr>
        <b/>
        <sz val="9"/>
        <rFont val="Verdana"/>
        <family val="2"/>
      </rPr>
      <t xml:space="preserve">1. Tab 'Application </t>
    </r>
    <r>
      <rPr>
        <b/>
        <sz val="9"/>
        <color rgb="FF000000"/>
        <rFont val="Verdana"/>
        <family val="2"/>
      </rPr>
      <t>Serial Adaptation' and/or tab 'Application Development Prototype'</t>
    </r>
    <r>
      <rPr>
        <sz val="9"/>
        <color rgb="FF000000"/>
        <rFont val="Verdana"/>
        <family val="2"/>
      </rPr>
      <t xml:space="preserve">                                      </t>
    </r>
  </si>
  <si>
    <t xml:space="preserve">      Use this to fill in the details of the different locs you are adapting. Add the corresponding locomotive number to each locomotive.</t>
  </si>
  <si>
    <t>2. Tab 'Development Prototype'</t>
  </si>
  <si>
    <t>Use this to fill in the details of the different locs you want to develop.  Add the corresponding locomotive number to each locomotive.</t>
  </si>
  <si>
    <t>3. Tab 'Series' Liquidity Needs'</t>
  </si>
  <si>
    <t>Indicate per locomotive when you expect to have adapted the locomotive.</t>
  </si>
  <si>
    <t>4. Tab 'Budget Milestones Prototype'</t>
  </si>
  <si>
    <t>Indicate when you expect to reach the milestones mentioned.</t>
  </si>
  <si>
    <t>Subsidy applied for on tabs 'Serial Adaptation'and 'Development Prototype':</t>
  </si>
  <si>
    <t>Use this to fill in the subsidy amount applied for. This may be less than the maximum amount, but not more.</t>
  </si>
  <si>
    <t>General</t>
  </si>
  <si>
    <t>The scheme is a FCFS scheme.  Budget will be divided in order of fully completed submitted applications.</t>
  </si>
  <si>
    <t xml:space="preserve">The subsidy amounts to a maximum of 50% of the eligible costs, not exceeding </t>
  </si>
  <si>
    <r>
      <t>a.</t>
    </r>
    <r>
      <rPr>
        <sz val="7"/>
        <color rgb="FF000000"/>
        <rFont val="Times New Roman"/>
        <family val="1"/>
      </rPr>
      <t xml:space="preserve">    </t>
    </r>
    <r>
      <rPr>
        <sz val="9"/>
        <color rgb="FF000000"/>
        <rFont val="Verdana"/>
        <family val="2"/>
      </rPr>
      <t>€ 200.000 per locomotive in case of serial adaptation;</t>
    </r>
  </si>
  <si>
    <t>b.  € 2.000.000 per locomotive in case of prototype development.</t>
  </si>
  <si>
    <t xml:space="preserve">Within the scheme there is only room for the development of 2 prototypes. </t>
  </si>
  <si>
    <t xml:space="preserve">For adaptation of the freight locomotive, it must be fitted with ETCS system version 2.0 or higher no later than 1 January 2030. </t>
  </si>
  <si>
    <t>The development of the freight locomotive must be completed no later than 1 april 2027.</t>
  </si>
  <si>
    <t>Precedence Dutch laws and regulations
Netherlands Enterprise Agency (RVO) provides this budget in English as a service. Any and all discrepancies, irregularities and/or mistranslation(s) are to be interpreted in accordance with their intended meaning pursuant to the original Dutch text of Tijdelijke Subsidieregeling goederenlocomotieven ERTMS as well as the applicable Dutch laws and regulations.</t>
  </si>
  <si>
    <t>Eligible Costs</t>
  </si>
  <si>
    <t>Eligible costs are taken into account when they are made from 1 januari 2025 until the end date of the project. The costs concerned are:</t>
  </si>
  <si>
    <t>a.   Costs for the adaptation, including the purchase and installation costs of software and hardware;</t>
  </si>
  <si>
    <t>b.   the unavailability of the freight locomotive (withdrawal) during the adaptation and development. We assume an adaption means the freight locomotive is stationary for a maximum of 4 weeks. For the development of a prototype, this is no more than a year;</t>
  </si>
  <si>
    <t>c.    costs related to obtaining the vehicle permit;</t>
  </si>
  <si>
    <t>d.   developing the prototype (development).</t>
  </si>
  <si>
    <t>The withdrawal referred to under part b, is 
a. for the calculation of eligible costs of the adjustment, set at a maximum of four consecutive weeks; 
b. for the calculation of eligible costs of the development, set at one year.</t>
  </si>
  <si>
    <t>The direct labour costs consist of:</t>
  </si>
  <si>
    <t>a.</t>
  </si>
  <si>
    <t>gross wages according to the CAO-salary table in the individual employment contract;</t>
  </si>
  <si>
    <t>b.</t>
  </si>
  <si>
    <t>holiday allowance;</t>
  </si>
  <si>
    <t>c.</t>
  </si>
  <si>
    <t>non-profit dependent end-of-year bonus or thirteenth month;</t>
  </si>
  <si>
    <t>d.</t>
  </si>
  <si>
    <t>employer's share of pension contributions;</t>
  </si>
  <si>
    <t>e.</t>
  </si>
  <si>
    <t>employer's share of social security contributions and sickness benefits.</t>
  </si>
  <si>
    <t>VAT</t>
  </si>
  <si>
    <t>Will the tax authorities allow you tou offset VAT paid against the costs you declare? In this case the VAT is not eligible for subsidy. Can you not offset VAT? Then the VAT is eligible for subsidy.</t>
  </si>
  <si>
    <t xml:space="preserve">In this case you may declare the costs including the VAT paid. </t>
  </si>
  <si>
    <t>Indicate on the tab 'Participant Overview' whether you are subject to VAT or not.</t>
  </si>
  <si>
    <t>When a participant declares costs including VAT, proof demonstrating that VAT can be offset must be provided.</t>
  </si>
  <si>
    <r>
      <rPr>
        <b/>
        <sz val="9"/>
        <rFont val="Verdana"/>
        <family val="2"/>
      </rPr>
      <t>Attention:</t>
    </r>
    <r>
      <rPr>
        <sz val="9"/>
        <rFont val="Verdana"/>
        <family val="2"/>
      </rPr>
      <t xml:space="preserve"> labour costs never include VAT.</t>
    </r>
  </si>
  <si>
    <t>Non-Eligible Costs</t>
  </si>
  <si>
    <t xml:space="preserve">Costs for which you do not receive subsidy are: </t>
  </si>
  <si>
    <t>Costs accountant for drawing up the audit report;</t>
  </si>
  <si>
    <t>Costs for domestic travel and/or accommodation;</t>
  </si>
  <si>
    <t>Costs which do not directly contribute to the objective of the scheme.</t>
  </si>
  <si>
    <t>Any further questions?</t>
  </si>
  <si>
    <r>
      <rPr>
        <sz val="9"/>
        <rFont val="Verdana"/>
        <family val="2"/>
      </rPr>
      <t>Do you have any further questions about the budget or the subsidy scheme? Please send an email to:</t>
    </r>
    <r>
      <rPr>
        <b/>
        <sz val="9"/>
        <rFont val="Verdana"/>
        <family val="2"/>
      </rPr>
      <t xml:space="preserve"> </t>
    </r>
    <r>
      <rPr>
        <b/>
        <u/>
        <sz val="9"/>
        <color theme="3" tint="0.249977111117893"/>
        <rFont val="Verdana"/>
        <family val="2"/>
      </rPr>
      <t>e-innovatie@rvo.nl</t>
    </r>
  </si>
  <si>
    <t>Total budget</t>
  </si>
  <si>
    <t>Project title:</t>
  </si>
  <si>
    <t>Project number:</t>
  </si>
  <si>
    <t>This table will be automatically filled in after you have filled in the yellow tabs.</t>
  </si>
  <si>
    <t>Organisation details</t>
  </si>
  <si>
    <t>Project costs</t>
  </si>
  <si>
    <t>Maximum subsidy</t>
  </si>
  <si>
    <t>Requested subsidy</t>
  </si>
  <si>
    <t>Subsidy as a percentage of project costs</t>
  </si>
  <si>
    <t xml:space="preserve">Own share </t>
  </si>
  <si>
    <t>Any comments (automatically generated)</t>
  </si>
  <si>
    <t>Name</t>
  </si>
  <si>
    <t>Application Type</t>
  </si>
  <si>
    <t>Type of organisation</t>
  </si>
  <si>
    <t>Labour cost system</t>
  </si>
  <si>
    <t>Aanvrager 3</t>
  </si>
  <si>
    <t>Aanvrager 4</t>
  </si>
  <si>
    <t>Aanvrager 5</t>
  </si>
  <si>
    <t>Total</t>
  </si>
  <si>
    <t>Verborgen regel met celreferenties voor de INDIRECT() functie in bovenstaande tabel. Niet verwijderen.</t>
  </si>
  <si>
    <t>C2</t>
  </si>
  <si>
    <t>C7</t>
  </si>
  <si>
    <t>C9</t>
  </si>
  <si>
    <t>F56</t>
  </si>
  <si>
    <t>F61</t>
  </si>
  <si>
    <t>F62</t>
  </si>
  <si>
    <t>Naam aanvrager:</t>
  </si>
  <si>
    <t>Lokomotiv Moskou</t>
  </si>
  <si>
    <t>Projecttitel:</t>
  </si>
  <si>
    <t>Project X</t>
  </si>
  <si>
    <t>Startdatum van het project:</t>
  </si>
  <si>
    <t>Einddatum van het project:</t>
  </si>
  <si>
    <t>Kleine onderneming</t>
  </si>
  <si>
    <t>Subsidiedoel(en):</t>
  </si>
  <si>
    <t>Aanpassing serie-matig</t>
  </si>
  <si>
    <t>Aantal locomotieven:</t>
  </si>
  <si>
    <t>Loonkostensystematiek:</t>
  </si>
  <si>
    <t>Directe loonkosten plus vaste opslag-systematiek (50%)</t>
  </si>
  <si>
    <t>1.</t>
  </si>
  <si>
    <t>Functie</t>
  </si>
  <si>
    <t>Subsidiedoel</t>
  </si>
  <si>
    <t>Aantal uren</t>
  </si>
  <si>
    <t>Directe loonkosten (per jaar)</t>
  </si>
  <si>
    <t>Contracturen (per week)</t>
  </si>
  <si>
    <t>Uren x tarief</t>
  </si>
  <si>
    <t>Monteur</t>
  </si>
  <si>
    <t>Monteur 2</t>
  </si>
  <si>
    <t>Projectleider</t>
  </si>
  <si>
    <t>Monteur 3</t>
  </si>
  <si>
    <t>Ontwikkeling prototype</t>
  </si>
  <si>
    <t>Engineer</t>
  </si>
  <si>
    <t>[Maak een keuze]</t>
  </si>
  <si>
    <t>Totaal prototype:</t>
  </si>
  <si>
    <t>Totaal serie-matig:</t>
  </si>
  <si>
    <t>Opslag algemene kosten (50%)</t>
  </si>
  <si>
    <t>Totaal:</t>
  </si>
  <si>
    <t>2.</t>
  </si>
  <si>
    <t>Projectspecifieke kosten: verbruikte materialen en hulpmiddelen</t>
  </si>
  <si>
    <t>Omschrijving</t>
  </si>
  <si>
    <t>Kosten</t>
  </si>
  <si>
    <t xml:space="preserve">Bouten </t>
  </si>
  <si>
    <t xml:space="preserve">Wielen </t>
  </si>
  <si>
    <t>Projectspecifieke kosten: aan derden verschuldigde kosten</t>
  </si>
  <si>
    <t>subsidiedoel</t>
  </si>
  <si>
    <t>Voertuigvergunning aanvragen</t>
  </si>
  <si>
    <t>Adviseringskosten</t>
  </si>
  <si>
    <t>Totale projectkosten</t>
  </si>
  <si>
    <t>Subsidiepercentage</t>
  </si>
  <si>
    <t>Maximale subsidie (bruto)</t>
  </si>
  <si>
    <t>Reeds verstrekte steun door bestuursorganen of Europese Commissie</t>
  </si>
  <si>
    <t>Maximale subsidie (netto)</t>
  </si>
  <si>
    <t>Gevraagde subsidie (in te vullen door aanvrager)</t>
  </si>
  <si>
    <t>Ruimte voor toelichting</t>
  </si>
  <si>
    <t>Name applicant:</t>
  </si>
  <si>
    <t>Locomotive</t>
  </si>
  <si>
    <t>ID-number</t>
  </si>
  <si>
    <t>Startdate of the project:</t>
  </si>
  <si>
    <t>End date of the project:</t>
  </si>
  <si>
    <t>Type of organisation:</t>
  </si>
  <si>
    <t>Total costs</t>
  </si>
  <si>
    <t>Activity:</t>
  </si>
  <si>
    <t>Number of locomotives:</t>
  </si>
  <si>
    <t>Labour cost systematic:</t>
  </si>
  <si>
    <t>Direct labour costs</t>
  </si>
  <si>
    <t xml:space="preserve">Number of hours </t>
  </si>
  <si>
    <t>Locnumber</t>
  </si>
  <si>
    <t>Description of the work</t>
  </si>
  <si>
    <t>Category (a,b,c)</t>
  </si>
  <si>
    <t>Hourly rate</t>
  </si>
  <si>
    <t>hours x rate</t>
  </si>
  <si>
    <t>Subtotal:</t>
  </si>
  <si>
    <t>Fixed surcharge (50%)</t>
  </si>
  <si>
    <t>Total:</t>
  </si>
  <si>
    <t>Project specific costs: materials and resources used</t>
  </si>
  <si>
    <t>Description</t>
  </si>
  <si>
    <t>Costs</t>
  </si>
  <si>
    <t>3.</t>
  </si>
  <si>
    <t>Project specific costs: the unavailability of the freight locomotive (withdrawal) during the adaptation for 4 weeks</t>
  </si>
  <si>
    <t>Project specific costs: costs owed to third parties</t>
  </si>
  <si>
    <t>Total projectcosts</t>
  </si>
  <si>
    <t>Subsidy percentage</t>
  </si>
  <si>
    <t>Maximum subsidy (gross)</t>
  </si>
  <si>
    <t>Support already provided by administrative bodies or the European Commission</t>
  </si>
  <si>
    <t>Requested subsidy (to be completed by applicant)</t>
  </si>
  <si>
    <t>Optional explanation</t>
  </si>
  <si>
    <t>ID-nummer</t>
  </si>
  <si>
    <t>Aantal prototypes:</t>
  </si>
  <si>
    <t>Locomotive number</t>
  </si>
  <si>
    <t>Category</t>
  </si>
  <si>
    <t>Project specific costs: the unavailability of the freight locomotive (withdrawal) during the adaptation</t>
  </si>
  <si>
    <t xml:space="preserve">  4.</t>
  </si>
  <si>
    <t>Total project costs</t>
  </si>
  <si>
    <t>Rol in project</t>
  </si>
  <si>
    <t>Uurtarief</t>
  </si>
  <si>
    <t>Uren</t>
  </si>
  <si>
    <t>Subtotaal:</t>
  </si>
  <si>
    <t>Liquidity requirement Serial adjustment</t>
  </si>
  <si>
    <t>Projectnumber</t>
  </si>
  <si>
    <t>Titel</t>
  </si>
  <si>
    <t>Payment dates</t>
  </si>
  <si>
    <t>Projecttype</t>
  </si>
  <si>
    <t>Project duration:</t>
  </si>
  <si>
    <t>Quarter</t>
  </si>
  <si>
    <t>Date</t>
  </si>
  <si>
    <t>Startdate:</t>
  </si>
  <si>
    <t>End date:</t>
  </si>
  <si>
    <t>Total eligible project costs</t>
  </si>
  <si>
    <t>Committed subsidy total project</t>
  </si>
  <si>
    <t>Advance payment 95%:</t>
  </si>
  <si>
    <t>Explanation</t>
  </si>
  <si>
    <t>Enter the start date of the modification and the date the locomotive will be ready.</t>
  </si>
  <si>
    <t>Startdatum</t>
  </si>
  <si>
    <t>Aantal maanden in 2025</t>
  </si>
  <si>
    <t xml:space="preserve">Aantal kwartalen </t>
  </si>
  <si>
    <t>Project costs to be incurred (total divided over project duration)</t>
  </si>
  <si>
    <t xml:space="preserve">Locomotive number </t>
  </si>
  <si>
    <t>Start date  adaption</t>
  </si>
  <si>
    <t>End date adaptation ready</t>
  </si>
  <si>
    <t>Year</t>
  </si>
  <si>
    <t>Difference between given costs</t>
  </si>
  <si>
    <t>Liquidity per quarter (Serial and prototype) (max. 95% of total subsidy)</t>
  </si>
  <si>
    <t>Advance payment (95%)</t>
  </si>
  <si>
    <t>Subsidy purpose</t>
  </si>
  <si>
    <t>Difference</t>
  </si>
  <si>
    <t>Mijlpaal</t>
  </si>
  <si>
    <t>Milestone budget</t>
  </si>
  <si>
    <t>Title:</t>
  </si>
  <si>
    <t>Kosten mijlpaal</t>
  </si>
  <si>
    <t>period milestone 1</t>
  </si>
  <si>
    <t>period milestone 2</t>
  </si>
  <si>
    <t>period milestone 3</t>
  </si>
  <si>
    <t>period milestone 4</t>
  </si>
  <si>
    <t>period milestone 5</t>
  </si>
  <si>
    <t>total</t>
  </si>
  <si>
    <t>Kosten per mijlpaal</t>
  </si>
  <si>
    <t>End date milestone</t>
  </si>
  <si>
    <t>Maand (dit is een hulpkolom)</t>
  </si>
  <si>
    <t>Kwartaal</t>
  </si>
  <si>
    <t>Advance payment per milestone</t>
  </si>
  <si>
    <t>Result milestones</t>
  </si>
  <si>
    <t>Milestone 1</t>
  </si>
  <si>
    <t>Granting of subsidies</t>
  </si>
  <si>
    <t>Description of milestone 1: If the subsidy is granted, you will receive an advance payment of 10% of the awarded subsidy within 2 weeks of receipt of the subsidy award. You do not need to fill in this date.</t>
  </si>
  <si>
    <t>Milestone 2</t>
  </si>
  <si>
    <t>Phase 2 Contract</t>
  </si>
  <si>
    <t>Milestone 2 description: In cell D42, enter the date on which you expect to conclude the contract with the supplier.</t>
  </si>
  <si>
    <t>Milestone 3</t>
  </si>
  <si>
    <t>Phase 3: Design</t>
  </si>
  <si>
    <t>Milestone 3 Description: In cell E42, enter the date on which you expect to finalize the design.</t>
  </si>
  <si>
    <t>Milestone 4</t>
  </si>
  <si>
    <t>Phase 3 Upgrade/retrofit</t>
  </si>
  <si>
    <t>Milestone 4 Description: Upgrade/retrofit complete, start field testing. In cell F42, enter the date on which you expect to finalize the design.</t>
  </si>
  <si>
    <t>Milestone 5</t>
  </si>
  <si>
    <t>Phase 5: re-authorization</t>
  </si>
  <si>
    <t>Milestone 5 Description: In cell G42, enter the expected date that the complete application for re-authorization is submitted to 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</si>
</sst>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4" formatCode="_ &quot;€&quot;\ * #,##0.00_ ;_ &quot;€&quot;\ * \-#,##0.00_ ;_ &quot;€&quot;\ * &quot;-&quot;??_ ;_ @_ "/>
    <numFmt numFmtId="43" formatCode="_ * #,##0.00_ ;_ * \-#,##0.00_ ;_ * &quot;-&quot;??_ ;_ @_ "/>
    <numFmt numFmtId="164" formatCode="_-* #,##0.00_-;_-* #,##0.00\-;_-* &quot;-&quot;??_-;_-@_-"/>
    <numFmt numFmtId="165" formatCode="General_)"/>
    <numFmt numFmtId="166" formatCode="_-* #,##0_-;_-* #,##0\-;_-* &quot;-&quot;??_-;_-@_-"/>
    <numFmt numFmtId="167" formatCode="&quot;€&quot;\ #,##0.00_-"/>
    <numFmt numFmtId="168" formatCode="&quot;€&quot;\ #,##0"/>
    <numFmt numFmtId="169" formatCode="_ &quot;€&quot;\ * #,##0_ ;_ &quot;€&quot;\ * \-#,##0_ ;_ &quot;€&quot;\ * &quot;-&quot;??_ ;_ @_ "/>
    <numFmt numFmtId="170" formatCode="_ &quot;€&quot;\ * #,##0.0_ ;_ &quot;€&quot;\ * \-#,##0.0_ ;_ &quot;€&quot;\ * &quot;-&quot;??_ ;_ @_ "/>
    <numFmt numFmtId="171" formatCode="_ [$€-413]\ * #,##0_ ;_ [$€-413]\ * \-#,##0_ ;_ [$€-413]\ * &quot;-&quot;??_ ;_ @_ "/>
    <numFmt numFmtId="172" formatCode="&quot;€&quot;\ #,##0_-"/>
    <numFmt numFmtId="173" formatCode="\-"/>
    <numFmt numFmtId="174" formatCode="_ [$€-2]\ * #,##0_ ;_ [$€-2]\ * \-#,##0_ ;_ [$€-2]\ * &quot;-&quot;??_ ;_ @_ "/>
    <numFmt numFmtId="175" formatCode="0.0000"/>
    <numFmt numFmtId="176" formatCode="[$-413]d/mmm;@"/>
    <numFmt numFmtId="177" formatCode="[$-809]d\ mmmm\ yyyy;@"/>
  </numFmts>
  <fonts count="72">
    <font>
      <sz val="10"/>
      <name val="Courier"/>
    </font>
    <font>
      <sz val="11"/>
      <color theme="1"/>
      <name val="Calibri"/>
      <family val="2"/>
      <scheme val="minor"/>
    </font>
    <font>
      <sz val="10"/>
      <name val="Arial"/>
      <family val="2"/>
    </font>
    <font>
      <sz val="8"/>
      <name val="Courier"/>
      <family val="3"/>
    </font>
    <font>
      <sz val="10"/>
      <name val="Times New Roman"/>
      <family val="1"/>
    </font>
    <font>
      <sz val="9"/>
      <color indexed="8"/>
      <name val="Arial"/>
      <family val="2"/>
    </font>
    <font>
      <b/>
      <sz val="9"/>
      <color indexed="8"/>
      <name val="Arial"/>
      <family val="2"/>
    </font>
    <font>
      <b/>
      <sz val="9"/>
      <name val="Arial"/>
      <family val="2"/>
    </font>
    <font>
      <sz val="9"/>
      <name val="Arial"/>
      <family val="2"/>
    </font>
    <font>
      <sz val="9"/>
      <color theme="0"/>
      <name val="Arial"/>
      <family val="2"/>
    </font>
    <font>
      <sz val="10"/>
      <name val="Courier"/>
      <family val="3"/>
    </font>
    <font>
      <sz val="10"/>
      <color indexed="8"/>
      <name val="Arial"/>
      <family val="2"/>
    </font>
    <font>
      <b/>
      <sz val="9"/>
      <color rgb="FFFF0000"/>
      <name val="Arial"/>
      <family val="2"/>
    </font>
    <font>
      <b/>
      <sz val="10"/>
      <color indexed="9"/>
      <name val="Arial"/>
      <family val="2"/>
    </font>
    <font>
      <sz val="9"/>
      <color theme="1"/>
      <name val="Arial"/>
      <family val="2"/>
    </font>
    <font>
      <b/>
      <sz val="11"/>
      <name val="Arial"/>
      <family val="2"/>
    </font>
    <font>
      <b/>
      <sz val="16"/>
      <name val="Arial"/>
      <family val="2"/>
    </font>
    <font>
      <b/>
      <sz val="10"/>
      <name val="Calibri"/>
      <family val="2"/>
      <scheme val="minor"/>
    </font>
    <font>
      <b/>
      <sz val="10"/>
      <name val="Arial"/>
      <family val="2"/>
    </font>
    <font>
      <sz val="10"/>
      <name val="Verdana"/>
      <family val="2"/>
    </font>
    <font>
      <sz val="10"/>
      <name val="Calibri"/>
      <family val="2"/>
      <scheme val="minor"/>
    </font>
    <font>
      <b/>
      <sz val="10"/>
      <color rgb="FFFF0000"/>
      <name val="Calibri"/>
      <family val="2"/>
      <scheme val="minor"/>
    </font>
    <font>
      <sz val="8"/>
      <name val="Courier"/>
    </font>
    <font>
      <sz val="10"/>
      <name val="Courier"/>
    </font>
    <font>
      <sz val="10"/>
      <color indexed="9"/>
      <name val="Arial"/>
      <family val="2"/>
    </font>
    <font>
      <u/>
      <sz val="7.5"/>
      <color indexed="12"/>
      <name val="Times New Roman"/>
      <family val="1"/>
    </font>
    <font>
      <sz val="9"/>
      <name val="Verdana"/>
      <family val="2"/>
    </font>
    <font>
      <sz val="9"/>
      <color rgb="FFFF0000"/>
      <name val="Arial"/>
      <family val="2"/>
    </font>
    <font>
      <b/>
      <sz val="12"/>
      <name val="Calibri"/>
      <family val="2"/>
      <scheme val="minor"/>
    </font>
    <font>
      <sz val="12"/>
      <name val="Courier"/>
    </font>
    <font>
      <sz val="10"/>
      <color rgb="FFFF0000"/>
      <name val="Calibri"/>
      <family val="2"/>
      <scheme val="minor"/>
    </font>
    <font>
      <sz val="8"/>
      <name val="Calibri"/>
      <family val="2"/>
      <scheme val="minor"/>
    </font>
    <font>
      <sz val="9"/>
      <name val="Courier"/>
    </font>
    <font>
      <sz val="8"/>
      <name val="Arial"/>
      <family val="2"/>
    </font>
    <font>
      <sz val="14"/>
      <color theme="0"/>
      <name val="Arial"/>
      <family val="2"/>
    </font>
    <font>
      <sz val="10"/>
      <color theme="0"/>
      <name val="Courier"/>
    </font>
    <font>
      <sz val="8"/>
      <color theme="0"/>
      <name val="Arial"/>
      <family val="2"/>
    </font>
    <font>
      <b/>
      <sz val="8"/>
      <name val="Arial"/>
      <family val="2"/>
    </font>
    <font>
      <b/>
      <sz val="10"/>
      <color theme="0"/>
      <name val="Arial"/>
      <family val="2"/>
    </font>
    <font>
      <b/>
      <sz val="10"/>
      <name val="Verdana"/>
      <family val="2"/>
    </font>
    <font>
      <b/>
      <sz val="14"/>
      <name val="Verdana"/>
      <family val="2"/>
    </font>
    <font>
      <b/>
      <sz val="9"/>
      <name val="Verdana"/>
      <family val="2"/>
    </font>
    <font>
      <sz val="8"/>
      <name val="Verdana"/>
      <family val="2"/>
    </font>
    <font>
      <b/>
      <sz val="8"/>
      <name val="Verdana"/>
      <family val="2"/>
    </font>
    <font>
      <b/>
      <sz val="14"/>
      <color theme="0"/>
      <name val="Verdana"/>
      <family val="2"/>
    </font>
    <font>
      <i/>
      <sz val="10"/>
      <color rgb="FF000000"/>
      <name val="Verdana"/>
      <family val="2"/>
    </font>
    <font>
      <sz val="9"/>
      <color theme="1"/>
      <name val="Verdana"/>
      <family val="2"/>
    </font>
    <font>
      <b/>
      <sz val="9"/>
      <color theme="1"/>
      <name val="Verdana"/>
      <family val="2"/>
    </font>
    <font>
      <i/>
      <sz val="22"/>
      <color rgb="FF007BC7"/>
      <name val="RijksoverheidSansHeadingTT"/>
      <family val="2"/>
    </font>
    <font>
      <b/>
      <sz val="7"/>
      <color indexed="9"/>
      <name val="Verdana"/>
      <family val="2"/>
    </font>
    <font>
      <i/>
      <sz val="22"/>
      <name val="RijksoverheidSansHeadingTT"/>
      <family val="2"/>
    </font>
    <font>
      <b/>
      <sz val="10"/>
      <color indexed="9"/>
      <name val="Verdana"/>
      <family val="2"/>
    </font>
    <font>
      <sz val="9"/>
      <color indexed="9"/>
      <name val="Verdana"/>
      <family val="2"/>
    </font>
    <font>
      <b/>
      <sz val="9"/>
      <color indexed="9"/>
      <name val="Verdana"/>
      <family val="2"/>
    </font>
    <font>
      <b/>
      <sz val="9"/>
      <color rgb="FF000000"/>
      <name val="Verdana"/>
      <family val="2"/>
    </font>
    <font>
      <sz val="9"/>
      <color rgb="FF000000"/>
      <name val="Verdana"/>
      <family val="2"/>
    </font>
    <font>
      <b/>
      <sz val="10"/>
      <color theme="0"/>
      <name val="Verdana"/>
      <family val="2"/>
    </font>
    <font>
      <sz val="11"/>
      <name val="Calibri"/>
      <family val="2"/>
      <scheme val="minor"/>
    </font>
    <font>
      <b/>
      <sz val="9"/>
      <color theme="0"/>
      <name val="Verdana"/>
      <family val="2"/>
    </font>
    <font>
      <sz val="9"/>
      <color theme="0"/>
      <name val="Verdana"/>
      <family val="2"/>
    </font>
    <font>
      <b/>
      <sz val="11"/>
      <color theme="0"/>
      <name val="Verdana"/>
      <family val="2"/>
    </font>
    <font>
      <b/>
      <u/>
      <sz val="9"/>
      <color theme="3" tint="0.249977111117893"/>
      <name val="Verdana"/>
      <family val="2"/>
    </font>
    <font>
      <sz val="7"/>
      <color rgb="FF000000"/>
      <name val="Times New Roman"/>
      <family val="1"/>
    </font>
    <font>
      <b/>
      <sz val="9"/>
      <color rgb="FF000000"/>
      <name val="Arial"/>
      <family val="2"/>
    </font>
    <font>
      <sz val="10"/>
      <color rgb="FFFF0000"/>
      <name val="Arial"/>
      <family val="2"/>
    </font>
    <font>
      <sz val="10"/>
      <color rgb="FFFF0000"/>
      <name val="Courier"/>
    </font>
    <font>
      <sz val="9"/>
      <name val="Ariel"/>
    </font>
    <font>
      <sz val="9"/>
      <name val="Arial Narrow"/>
      <family val="2"/>
    </font>
    <font>
      <b/>
      <sz val="10"/>
      <name val="Courier"/>
    </font>
    <font>
      <u/>
      <sz val="9"/>
      <color indexed="12"/>
      <name val="Verdana"/>
      <family val="2"/>
    </font>
    <font>
      <sz val="7"/>
      <color rgb="FF000000"/>
      <name val="Arial Narrow"/>
      <family val="2"/>
    </font>
    <font>
      <sz val="9"/>
      <color rgb="FF00B0F0"/>
      <name val="Arial"/>
      <family val="2"/>
    </font>
  </fonts>
  <fills count="28">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9"/>
        <bgColor indexed="64"/>
      </patternFill>
    </fill>
    <fill>
      <patternFill patternType="solid">
        <fgColor indexed="47"/>
        <bgColor indexed="64"/>
      </patternFill>
    </fill>
    <fill>
      <patternFill patternType="solid">
        <fgColor theme="0"/>
        <bgColor indexed="64"/>
      </patternFill>
    </fill>
    <fill>
      <patternFill patternType="solid">
        <fgColor indexed="8"/>
        <bgColor indexed="64"/>
      </patternFill>
    </fill>
    <fill>
      <patternFill patternType="solid">
        <fgColor theme="2"/>
        <bgColor indexed="64"/>
      </patternFill>
    </fill>
    <fill>
      <patternFill patternType="solid">
        <fgColor theme="3" tint="0.79998168889431442"/>
        <bgColor indexed="64"/>
      </patternFill>
    </fill>
    <fill>
      <patternFill patternType="solid">
        <fgColor indexed="1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FF"/>
        <bgColor rgb="FF000000"/>
      </patternFill>
    </fill>
    <fill>
      <patternFill patternType="solid">
        <fgColor rgb="FFC2E1F6"/>
        <bgColor rgb="FF000000"/>
      </patternFill>
    </fill>
    <fill>
      <patternFill patternType="solid">
        <fgColor rgb="FFFFFF00"/>
        <bgColor rgb="FF000000"/>
      </patternFill>
    </fill>
    <fill>
      <patternFill patternType="solid">
        <fgColor theme="4" tint="0.79998168889431442"/>
        <bgColor indexed="64"/>
      </patternFill>
    </fill>
    <fill>
      <patternFill patternType="solid">
        <fgColor theme="1"/>
        <bgColor indexed="64"/>
      </patternFill>
    </fill>
    <fill>
      <patternFill patternType="solid">
        <fgColor rgb="FFFFFF00"/>
        <bgColor indexed="64"/>
      </patternFill>
    </fill>
    <fill>
      <patternFill patternType="solid">
        <fgColor indexed="22"/>
        <bgColor indexed="64"/>
      </patternFill>
    </fill>
    <fill>
      <patternFill patternType="solid">
        <fgColor indexed="44"/>
        <bgColor indexed="64"/>
      </patternFill>
    </fill>
    <fill>
      <patternFill patternType="solid">
        <fgColor theme="0" tint="-0.34998626667073579"/>
        <bgColor indexed="64"/>
      </patternFill>
    </fill>
    <fill>
      <patternFill patternType="solid">
        <fgColor theme="4" tint="0.39997558519241921"/>
        <bgColor indexed="64"/>
      </patternFill>
    </fill>
    <fill>
      <patternFill patternType="solid">
        <fgColor rgb="FF007BC7"/>
        <bgColor indexed="64"/>
      </patternFill>
    </fill>
    <fill>
      <patternFill patternType="solid">
        <fgColor theme="4" tint="0.59999389629810485"/>
        <bgColor indexed="64"/>
      </patternFill>
    </fill>
    <fill>
      <patternFill patternType="solid">
        <fgColor rgb="FFFFFF99"/>
        <bgColor indexed="64"/>
      </patternFill>
    </fill>
    <fill>
      <patternFill patternType="solid">
        <fgColor rgb="FFFFC000"/>
        <bgColor indexed="64"/>
      </patternFill>
    </fill>
    <fill>
      <patternFill patternType="solid">
        <fgColor theme="8" tint="0.59999389629810485"/>
        <bgColor indexed="64"/>
      </patternFill>
    </fill>
  </fills>
  <borders count="69">
    <border>
      <left/>
      <right/>
      <top/>
      <bottom/>
      <diagonal/>
    </border>
    <border>
      <left style="medium">
        <color indexed="64"/>
      </left>
      <right/>
      <top style="medium">
        <color indexed="64"/>
      </top>
      <bottom style="medium">
        <color indexed="64"/>
      </bottom>
      <diagonal/>
    </border>
    <border>
      <left style="medium">
        <color indexed="64"/>
      </left>
      <right/>
      <top/>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style="mediumDashed">
        <color indexed="64"/>
      </top>
      <bottom style="medium">
        <color indexed="64"/>
      </bottom>
      <diagonal/>
    </border>
    <border>
      <left style="medium">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Dashed">
        <color indexed="64"/>
      </top>
      <bottom style="medium">
        <color indexed="64"/>
      </bottom>
      <diagonal/>
    </border>
    <border>
      <left/>
      <right style="medium">
        <color indexed="64"/>
      </right>
      <top/>
      <bottom style="medium">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style="medium">
        <color indexed="64"/>
      </left>
      <right/>
      <top/>
      <bottom style="thin">
        <color indexed="64"/>
      </bottom>
      <diagonal/>
    </border>
    <border>
      <left style="thin">
        <color rgb="FF000000"/>
      </left>
      <right/>
      <top style="thin">
        <color rgb="FF000000"/>
      </top>
      <bottom/>
      <diagonal/>
    </border>
    <border>
      <left style="thin">
        <color rgb="FF000000"/>
      </left>
      <right/>
      <top/>
      <bottom/>
      <diagonal/>
    </border>
    <border>
      <left style="thin">
        <color rgb="FF000000"/>
      </left>
      <right style="thin">
        <color rgb="FF000000"/>
      </right>
      <top style="thin">
        <color rgb="FF000000"/>
      </top>
      <bottom/>
      <diagonal/>
    </border>
    <border>
      <left/>
      <right/>
      <top style="thin">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style="thin">
        <color rgb="FF000000"/>
      </left>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indexed="64"/>
      </left>
      <right style="medium">
        <color indexed="64"/>
      </right>
      <top style="medium">
        <color indexed="64"/>
      </top>
      <bottom style="medium">
        <color indexed="64"/>
      </bottom>
      <diagonal/>
    </border>
    <border>
      <left/>
      <right style="medium">
        <color rgb="FF000000"/>
      </right>
      <top style="medium">
        <color rgb="FF000000"/>
      </top>
      <bottom/>
      <diagonal/>
    </border>
  </borders>
  <cellStyleXfs count="12">
    <xf numFmtId="165" fontId="0" fillId="0" borderId="0"/>
    <xf numFmtId="164" fontId="2" fillId="0" borderId="0" applyFont="0" applyFill="0" applyBorder="0" applyAlignment="0" applyProtection="0"/>
    <xf numFmtId="165" fontId="10" fillId="0" borderId="0"/>
    <xf numFmtId="0" fontId="2" fillId="0" borderId="0"/>
    <xf numFmtId="0" fontId="2" fillId="0" borderId="0"/>
    <xf numFmtId="0" fontId="4" fillId="0" borderId="0"/>
    <xf numFmtId="9" fontId="23" fillId="0" borderId="0" applyFont="0" applyFill="0" applyBorder="0" applyAlignment="0" applyProtection="0"/>
    <xf numFmtId="0" fontId="25" fillId="0" borderId="0" applyNumberFormat="0" applyFill="0" applyBorder="0" applyAlignment="0" applyProtection="0">
      <alignment vertical="top"/>
      <protection locked="0"/>
    </xf>
    <xf numFmtId="0" fontId="1" fillId="0" borderId="0"/>
    <xf numFmtId="43" fontId="10" fillId="0" borderId="0" applyFont="0" applyFill="0" applyBorder="0" applyAlignment="0" applyProtection="0"/>
    <xf numFmtId="0" fontId="2" fillId="0" borderId="0"/>
    <xf numFmtId="44" fontId="23" fillId="0" borderId="0" applyFont="0" applyFill="0" applyBorder="0" applyAlignment="0" applyProtection="0"/>
  </cellStyleXfs>
  <cellXfs count="632">
    <xf numFmtId="165" fontId="0" fillId="0" borderId="0" xfId="0"/>
    <xf numFmtId="166" fontId="5" fillId="4" borderId="0" xfId="1" applyNumberFormat="1" applyFont="1" applyFill="1" applyBorder="1" applyAlignment="1" applyProtection="1">
      <alignment horizontal="left" vertical="center"/>
    </xf>
    <xf numFmtId="166" fontId="5" fillId="4" borderId="0" xfId="1" applyNumberFormat="1" applyFont="1" applyFill="1" applyBorder="1" applyAlignment="1" applyProtection="1">
      <alignment vertical="center"/>
    </xf>
    <xf numFmtId="167" fontId="5" fillId="4" borderId="0" xfId="1" applyNumberFormat="1" applyFont="1" applyFill="1" applyBorder="1" applyAlignment="1" applyProtection="1">
      <alignment vertical="center"/>
    </xf>
    <xf numFmtId="167" fontId="6" fillId="4" borderId="0" xfId="1" applyNumberFormat="1" applyFont="1" applyFill="1" applyBorder="1" applyAlignment="1" applyProtection="1">
      <alignment horizontal="center" vertical="center"/>
    </xf>
    <xf numFmtId="166" fontId="5" fillId="0" borderId="0" xfId="1" applyNumberFormat="1" applyFont="1" applyFill="1" applyBorder="1" applyAlignment="1" applyProtection="1">
      <alignment vertical="center"/>
    </xf>
    <xf numFmtId="166" fontId="6" fillId="4" borderId="0" xfId="1" applyNumberFormat="1" applyFont="1" applyFill="1" applyBorder="1" applyAlignment="1" applyProtection="1">
      <alignment horizontal="left" vertical="center"/>
    </xf>
    <xf numFmtId="166" fontId="7" fillId="4" borderId="0" xfId="1" applyNumberFormat="1" applyFont="1" applyFill="1" applyBorder="1" applyAlignment="1" applyProtection="1">
      <alignment vertical="center"/>
    </xf>
    <xf numFmtId="167" fontId="7" fillId="4" borderId="0" xfId="1" applyNumberFormat="1" applyFont="1" applyFill="1" applyBorder="1" applyAlignment="1" applyProtection="1">
      <alignment vertical="center"/>
    </xf>
    <xf numFmtId="166" fontId="6" fillId="4" borderId="0" xfId="1" applyNumberFormat="1" applyFont="1" applyFill="1" applyBorder="1" applyAlignment="1" applyProtection="1">
      <alignment vertical="center"/>
    </xf>
    <xf numFmtId="166" fontId="7" fillId="4" borderId="0" xfId="1" applyNumberFormat="1" applyFont="1" applyFill="1" applyBorder="1" applyAlignment="1" applyProtection="1">
      <alignment horizontal="center" vertical="center"/>
    </xf>
    <xf numFmtId="166" fontId="6" fillId="4" borderId="0" xfId="1" applyNumberFormat="1" applyFont="1" applyFill="1" applyBorder="1" applyAlignment="1" applyProtection="1">
      <alignment horizontal="center" vertical="center"/>
    </xf>
    <xf numFmtId="3" fontId="5" fillId="2" borderId="0" xfId="1" applyNumberFormat="1" applyFont="1" applyFill="1" applyBorder="1" applyAlignment="1" applyProtection="1">
      <alignment vertical="center"/>
      <protection locked="0"/>
    </xf>
    <xf numFmtId="3" fontId="5" fillId="4" borderId="0" xfId="1" applyNumberFormat="1" applyFont="1" applyFill="1" applyBorder="1" applyAlignment="1" applyProtection="1">
      <alignment horizontal="left" vertical="center"/>
    </xf>
    <xf numFmtId="165" fontId="8" fillId="4" borderId="0" xfId="0" applyFont="1" applyFill="1" applyAlignment="1">
      <alignment vertical="center"/>
    </xf>
    <xf numFmtId="165" fontId="8" fillId="0" borderId="0" xfId="0" applyFont="1" applyAlignment="1">
      <alignment vertical="center"/>
    </xf>
    <xf numFmtId="165" fontId="9" fillId="4" borderId="0" xfId="0" applyFont="1" applyFill="1" applyAlignment="1">
      <alignment vertical="center"/>
    </xf>
    <xf numFmtId="165" fontId="4" fillId="5" borderId="0" xfId="2" applyFont="1" applyFill="1"/>
    <xf numFmtId="166" fontId="6" fillId="4" borderId="10" xfId="1" applyNumberFormat="1" applyFont="1" applyFill="1" applyBorder="1" applyAlignment="1" applyProtection="1">
      <alignment vertical="center"/>
    </xf>
    <xf numFmtId="166" fontId="5" fillId="4" borderId="10" xfId="1" applyNumberFormat="1" applyFont="1" applyFill="1" applyBorder="1" applyAlignment="1" applyProtection="1">
      <alignment horizontal="right" vertical="center"/>
    </xf>
    <xf numFmtId="166" fontId="5" fillId="4" borderId="3" xfId="1" applyNumberFormat="1" applyFont="1" applyFill="1" applyBorder="1" applyAlignment="1" applyProtection="1">
      <alignment vertical="center"/>
    </xf>
    <xf numFmtId="166" fontId="6" fillId="4" borderId="4" xfId="1" applyNumberFormat="1" applyFont="1" applyFill="1" applyBorder="1" applyAlignment="1" applyProtection="1">
      <alignment vertical="center"/>
    </xf>
    <xf numFmtId="166" fontId="5" fillId="4" borderId="4" xfId="1" applyNumberFormat="1" applyFont="1" applyFill="1" applyBorder="1" applyAlignment="1" applyProtection="1">
      <alignment horizontal="right" vertical="center"/>
    </xf>
    <xf numFmtId="167" fontId="6" fillId="4" borderId="0" xfId="1" applyNumberFormat="1" applyFont="1" applyFill="1" applyBorder="1" applyAlignment="1" applyProtection="1">
      <alignment vertical="center"/>
    </xf>
    <xf numFmtId="2" fontId="5" fillId="2" borderId="0" xfId="1" applyNumberFormat="1" applyFont="1" applyFill="1" applyBorder="1" applyAlignment="1" applyProtection="1">
      <alignment vertical="center"/>
      <protection locked="0"/>
    </xf>
    <xf numFmtId="2" fontId="5" fillId="4" borderId="0" xfId="1" applyNumberFormat="1" applyFont="1" applyFill="1" applyBorder="1" applyAlignment="1" applyProtection="1">
      <alignment vertical="center"/>
    </xf>
    <xf numFmtId="3" fontId="5" fillId="4" borderId="0" xfId="1" applyNumberFormat="1" applyFont="1" applyFill="1" applyBorder="1" applyAlignment="1" applyProtection="1">
      <alignment horizontal="right" vertical="center"/>
    </xf>
    <xf numFmtId="1" fontId="6" fillId="4" borderId="0" xfId="1" applyNumberFormat="1" applyFont="1" applyFill="1" applyBorder="1" applyAlignment="1" applyProtection="1">
      <alignment vertical="center"/>
    </xf>
    <xf numFmtId="0" fontId="7" fillId="4" borderId="0" xfId="1" applyNumberFormat="1" applyFont="1" applyFill="1" applyBorder="1" applyAlignment="1" applyProtection="1">
      <alignment horizontal="right" vertical="center" wrapText="1"/>
    </xf>
    <xf numFmtId="167" fontId="6" fillId="4" borderId="4" xfId="1" applyNumberFormat="1" applyFont="1" applyFill="1" applyBorder="1" applyAlignment="1" applyProtection="1">
      <alignment vertical="center"/>
    </xf>
    <xf numFmtId="166" fontId="5" fillId="4" borderId="16" xfId="1" applyNumberFormat="1" applyFont="1" applyFill="1" applyBorder="1" applyAlignment="1" applyProtection="1">
      <alignment vertical="center"/>
    </xf>
    <xf numFmtId="166" fontId="5" fillId="4" borderId="14" xfId="1" applyNumberFormat="1" applyFont="1" applyFill="1" applyBorder="1" applyAlignment="1" applyProtection="1">
      <alignment vertical="center"/>
    </xf>
    <xf numFmtId="166" fontId="5" fillId="0" borderId="14" xfId="1" applyNumberFormat="1" applyFont="1" applyFill="1" applyBorder="1" applyAlignment="1" applyProtection="1">
      <alignment vertical="center"/>
    </xf>
    <xf numFmtId="167" fontId="5" fillId="0" borderId="0" xfId="1" applyNumberFormat="1" applyFont="1" applyFill="1" applyBorder="1" applyAlignment="1" applyProtection="1">
      <alignment vertical="center"/>
    </xf>
    <xf numFmtId="166" fontId="5" fillId="4" borderId="0" xfId="1" applyNumberFormat="1" applyFont="1" applyFill="1" applyBorder="1" applyAlignment="1" applyProtection="1">
      <alignment horizontal="right" vertical="center"/>
    </xf>
    <xf numFmtId="0" fontId="13" fillId="7" borderId="1" xfId="3" applyFont="1" applyFill="1" applyBorder="1" applyAlignment="1">
      <alignment horizontal="left"/>
    </xf>
    <xf numFmtId="0" fontId="13" fillId="7" borderId="10" xfId="3" applyFont="1" applyFill="1" applyBorder="1" applyAlignment="1">
      <alignment horizontal="left"/>
    </xf>
    <xf numFmtId="166" fontId="6" fillId="4" borderId="6" xfId="1" applyNumberFormat="1" applyFont="1" applyFill="1" applyBorder="1" applyAlignment="1" applyProtection="1">
      <alignment vertical="center"/>
    </xf>
    <xf numFmtId="166" fontId="7" fillId="4" borderId="17" xfId="1" applyNumberFormat="1" applyFont="1" applyFill="1" applyBorder="1" applyAlignment="1" applyProtection="1">
      <alignment horizontal="left" vertical="center"/>
    </xf>
    <xf numFmtId="166" fontId="8" fillId="4" borderId="18" xfId="1" applyNumberFormat="1" applyFont="1" applyFill="1" applyBorder="1" applyAlignment="1" applyProtection="1">
      <alignment horizontal="left" vertical="center"/>
    </xf>
    <xf numFmtId="166" fontId="8" fillId="4" borderId="19" xfId="1" applyNumberFormat="1" applyFont="1" applyFill="1" applyBorder="1" applyAlignment="1" applyProtection="1">
      <alignment horizontal="left" vertical="center"/>
    </xf>
    <xf numFmtId="166" fontId="7" fillId="0" borderId="22" xfId="1" applyNumberFormat="1" applyFont="1" applyFill="1" applyBorder="1" applyAlignment="1" applyProtection="1">
      <alignment vertical="center"/>
    </xf>
    <xf numFmtId="166" fontId="8" fillId="0" borderId="21" xfId="1" applyNumberFormat="1" applyFont="1" applyFill="1" applyBorder="1" applyAlignment="1" applyProtection="1">
      <alignment vertical="center"/>
    </xf>
    <xf numFmtId="166" fontId="8" fillId="0" borderId="20" xfId="1" applyNumberFormat="1" applyFont="1" applyFill="1" applyBorder="1" applyAlignment="1" applyProtection="1">
      <alignment vertical="center"/>
    </xf>
    <xf numFmtId="9" fontId="14" fillId="0" borderId="18" xfId="1" applyNumberFormat="1" applyFont="1" applyFill="1" applyBorder="1" applyAlignment="1" applyProtection="1">
      <alignment vertical="center"/>
    </xf>
    <xf numFmtId="9" fontId="14" fillId="0" borderId="19" xfId="1" applyNumberFormat="1" applyFont="1" applyFill="1" applyBorder="1" applyAlignment="1" applyProtection="1">
      <alignment vertical="center"/>
    </xf>
    <xf numFmtId="166" fontId="7" fillId="0" borderId="17" xfId="1" applyNumberFormat="1" applyFont="1" applyFill="1" applyBorder="1" applyAlignment="1" applyProtection="1">
      <alignment horizontal="center" vertical="center"/>
    </xf>
    <xf numFmtId="166" fontId="5" fillId="0" borderId="0" xfId="1" applyNumberFormat="1" applyFont="1" applyFill="1" applyBorder="1" applyAlignment="1" applyProtection="1">
      <alignment horizontal="left" vertical="center"/>
    </xf>
    <xf numFmtId="166" fontId="12" fillId="4" borderId="0" xfId="1" applyNumberFormat="1" applyFont="1" applyFill="1" applyBorder="1" applyAlignment="1" applyProtection="1">
      <alignment vertical="center"/>
    </xf>
    <xf numFmtId="165" fontId="20" fillId="0" borderId="0" xfId="0" applyFont="1"/>
    <xf numFmtId="0" fontId="20" fillId="13" borderId="0" xfId="0" applyNumberFormat="1" applyFont="1" applyFill="1"/>
    <xf numFmtId="165" fontId="17" fillId="0" borderId="26" xfId="0" applyFont="1" applyBorder="1" applyAlignment="1">
      <alignment horizontal="center"/>
    </xf>
    <xf numFmtId="165" fontId="17" fillId="0" borderId="0" xfId="0" applyFont="1"/>
    <xf numFmtId="166" fontId="5" fillId="2" borderId="0" xfId="1" applyNumberFormat="1" applyFont="1" applyFill="1" applyBorder="1" applyAlignment="1" applyProtection="1">
      <alignment vertical="center"/>
      <protection locked="0"/>
    </xf>
    <xf numFmtId="166" fontId="6" fillId="4" borderId="3" xfId="1" applyNumberFormat="1" applyFont="1" applyFill="1" applyBorder="1" applyAlignment="1" applyProtection="1">
      <alignment vertical="center"/>
    </xf>
    <xf numFmtId="166" fontId="6" fillId="4" borderId="0" xfId="1" applyNumberFormat="1" applyFont="1" applyFill="1" applyBorder="1" applyAlignment="1" applyProtection="1">
      <alignment horizontal="right" vertical="center"/>
    </xf>
    <xf numFmtId="166" fontId="6" fillId="4" borderId="4" xfId="1" applyNumberFormat="1" applyFont="1" applyFill="1" applyBorder="1" applyAlignment="1" applyProtection="1">
      <alignment horizontal="right" vertical="center"/>
    </xf>
    <xf numFmtId="166" fontId="5" fillId="4" borderId="2" xfId="1" applyNumberFormat="1" applyFont="1" applyFill="1" applyBorder="1" applyAlignment="1" applyProtection="1">
      <alignment vertical="center"/>
    </xf>
    <xf numFmtId="166" fontId="6" fillId="4" borderId="2" xfId="1" applyNumberFormat="1" applyFont="1" applyFill="1" applyBorder="1" applyAlignment="1" applyProtection="1">
      <alignment horizontal="center" vertical="center"/>
    </xf>
    <xf numFmtId="166" fontId="5" fillId="2" borderId="2" xfId="1" applyNumberFormat="1" applyFont="1" applyFill="1" applyBorder="1" applyAlignment="1" applyProtection="1">
      <alignment vertical="center"/>
      <protection locked="0"/>
    </xf>
    <xf numFmtId="166" fontId="6" fillId="4" borderId="2" xfId="1" applyNumberFormat="1" applyFont="1" applyFill="1" applyBorder="1" applyAlignment="1" applyProtection="1">
      <alignment vertical="center"/>
    </xf>
    <xf numFmtId="166" fontId="6" fillId="4" borderId="7" xfId="1" applyNumberFormat="1" applyFont="1" applyFill="1" applyBorder="1" applyAlignment="1" applyProtection="1">
      <alignment vertical="center"/>
    </xf>
    <xf numFmtId="166" fontId="6" fillId="4" borderId="9" xfId="1" applyNumberFormat="1" applyFont="1" applyFill="1" applyBorder="1" applyAlignment="1" applyProtection="1">
      <alignment vertical="center"/>
    </xf>
    <xf numFmtId="166" fontId="6" fillId="6" borderId="9" xfId="1" applyNumberFormat="1" applyFont="1" applyFill="1" applyBorder="1" applyAlignment="1" applyProtection="1">
      <alignment vertical="center"/>
    </xf>
    <xf numFmtId="165" fontId="0" fillId="0" borderId="3" xfId="0" applyBorder="1"/>
    <xf numFmtId="166" fontId="6" fillId="6" borderId="2" xfId="1" applyNumberFormat="1" applyFont="1" applyFill="1" applyBorder="1" applyAlignment="1" applyProtection="1">
      <alignment vertical="center"/>
    </xf>
    <xf numFmtId="166" fontId="6" fillId="6" borderId="7" xfId="1" applyNumberFormat="1" applyFont="1" applyFill="1" applyBorder="1" applyAlignment="1" applyProtection="1">
      <alignment vertical="center"/>
    </xf>
    <xf numFmtId="165" fontId="0" fillId="0" borderId="4" xfId="0" applyBorder="1"/>
    <xf numFmtId="165" fontId="8" fillId="6" borderId="0" xfId="0" applyFont="1" applyFill="1" applyAlignment="1">
      <alignment vertical="center"/>
    </xf>
    <xf numFmtId="166" fontId="6" fillId="0" borderId="9" xfId="1" applyNumberFormat="1" applyFont="1" applyFill="1" applyBorder="1" applyAlignment="1" applyProtection="1">
      <alignment vertical="center"/>
    </xf>
    <xf numFmtId="166" fontId="6" fillId="0" borderId="2" xfId="1" applyNumberFormat="1" applyFont="1" applyFill="1" applyBorder="1" applyAlignment="1" applyProtection="1">
      <alignment vertical="center"/>
    </xf>
    <xf numFmtId="166" fontId="5" fillId="2" borderId="5" xfId="1" applyNumberFormat="1" applyFont="1" applyFill="1" applyBorder="1" applyAlignment="1" applyProtection="1">
      <alignment horizontal="left" vertical="center"/>
      <protection locked="0"/>
    </xf>
    <xf numFmtId="166" fontId="5" fillId="2" borderId="6" xfId="1" applyNumberFormat="1" applyFont="1" applyFill="1" applyBorder="1" applyAlignment="1" applyProtection="1">
      <alignment horizontal="left" vertical="center"/>
      <protection locked="0"/>
    </xf>
    <xf numFmtId="14" fontId="5" fillId="2" borderId="6" xfId="1" applyNumberFormat="1" applyFont="1" applyFill="1" applyBorder="1" applyAlignment="1" applyProtection="1">
      <alignment horizontal="left" vertical="center"/>
      <protection locked="0"/>
    </xf>
    <xf numFmtId="14" fontId="5" fillId="9" borderId="6" xfId="1" applyNumberFormat="1" applyFont="1" applyFill="1" applyBorder="1" applyAlignment="1" applyProtection="1">
      <alignment horizontal="left" vertical="center"/>
    </xf>
    <xf numFmtId="166" fontId="6" fillId="6" borderId="0" xfId="1" applyNumberFormat="1" applyFont="1" applyFill="1" applyBorder="1" applyAlignment="1" applyProtection="1">
      <alignment vertical="center" wrapText="1"/>
    </xf>
    <xf numFmtId="166" fontId="6" fillId="2" borderId="6" xfId="1" applyNumberFormat="1" applyFont="1" applyFill="1" applyBorder="1" applyAlignment="1" applyProtection="1">
      <alignment vertical="center"/>
      <protection locked="0"/>
    </xf>
    <xf numFmtId="166" fontId="6" fillId="2" borderId="13" xfId="1" applyNumberFormat="1" applyFont="1" applyFill="1" applyBorder="1" applyAlignment="1" applyProtection="1">
      <alignment vertical="center"/>
      <protection locked="0"/>
    </xf>
    <xf numFmtId="167" fontId="7" fillId="4" borderId="6" xfId="1" applyNumberFormat="1" applyFont="1" applyFill="1" applyBorder="1" applyAlignment="1" applyProtection="1">
      <alignment vertical="center"/>
    </xf>
    <xf numFmtId="165" fontId="8" fillId="4" borderId="25" xfId="0" applyFont="1" applyFill="1" applyBorder="1" applyAlignment="1">
      <alignment vertical="center"/>
    </xf>
    <xf numFmtId="0" fontId="5" fillId="2" borderId="5" xfId="1" applyNumberFormat="1" applyFont="1" applyFill="1" applyBorder="1" applyAlignment="1" applyProtection="1">
      <alignment horizontal="left" vertical="center"/>
      <protection locked="0"/>
    </xf>
    <xf numFmtId="165" fontId="27" fillId="4" borderId="0" xfId="0" applyFont="1" applyFill="1" applyAlignment="1">
      <alignment vertical="center"/>
    </xf>
    <xf numFmtId="165" fontId="8" fillId="4" borderId="22" xfId="0" applyFont="1" applyFill="1" applyBorder="1" applyAlignment="1">
      <alignment vertical="center"/>
    </xf>
    <xf numFmtId="165" fontId="8" fillId="4" borderId="27" xfId="0" applyFont="1" applyFill="1" applyBorder="1" applyAlignment="1">
      <alignment vertical="center"/>
    </xf>
    <xf numFmtId="165" fontId="8" fillId="4" borderId="21" xfId="0" applyFont="1" applyFill="1" applyBorder="1" applyAlignment="1">
      <alignment vertical="center"/>
    </xf>
    <xf numFmtId="165" fontId="8" fillId="4" borderId="28" xfId="0" applyFont="1" applyFill="1" applyBorder="1" applyAlignment="1">
      <alignment vertical="center"/>
    </xf>
    <xf numFmtId="165" fontId="8" fillId="4" borderId="20" xfId="0" applyFont="1" applyFill="1" applyBorder="1" applyAlignment="1">
      <alignment vertical="center"/>
    </xf>
    <xf numFmtId="165" fontId="8" fillId="4" borderId="29" xfId="0" applyFont="1" applyFill="1" applyBorder="1" applyAlignment="1">
      <alignment vertical="center"/>
    </xf>
    <xf numFmtId="165" fontId="28" fillId="0" borderId="0" xfId="0" applyFont="1"/>
    <xf numFmtId="165" fontId="29" fillId="0" borderId="0" xfId="0" applyFont="1"/>
    <xf numFmtId="165" fontId="27" fillId="4" borderId="0" xfId="0" applyFont="1" applyFill="1" applyAlignment="1">
      <alignment horizontal="right" vertical="center" wrapText="1"/>
    </xf>
    <xf numFmtId="165" fontId="27" fillId="4" borderId="0" xfId="0" applyFont="1" applyFill="1" applyAlignment="1">
      <alignment horizontal="center" vertical="center"/>
    </xf>
    <xf numFmtId="165" fontId="8" fillId="4" borderId="24" xfId="0" applyFont="1" applyFill="1" applyBorder="1" applyAlignment="1">
      <alignment vertical="center"/>
    </xf>
    <xf numFmtId="165" fontId="17" fillId="0" borderId="30" xfId="0" applyFont="1" applyBorder="1" applyAlignment="1">
      <alignment horizontal="center"/>
    </xf>
    <xf numFmtId="169" fontId="20" fillId="0" borderId="30" xfId="0" applyNumberFormat="1" applyFont="1" applyBorder="1" applyAlignment="1">
      <alignment horizontal="center"/>
    </xf>
    <xf numFmtId="169" fontId="20" fillId="0" borderId="26" xfId="0" applyNumberFormat="1" applyFont="1" applyBorder="1" applyAlignment="1">
      <alignment horizontal="center"/>
    </xf>
    <xf numFmtId="166" fontId="15" fillId="0" borderId="21" xfId="1" applyNumberFormat="1" applyFont="1" applyFill="1" applyBorder="1" applyAlignment="1" applyProtection="1">
      <alignment horizontal="right" vertical="center"/>
    </xf>
    <xf numFmtId="169" fontId="31" fillId="0" borderId="30" xfId="0" applyNumberFormat="1" applyFont="1" applyBorder="1" applyAlignment="1">
      <alignment horizontal="center" vertical="center" wrapText="1"/>
    </xf>
    <xf numFmtId="165" fontId="17" fillId="0" borderId="0" xfId="0" applyFont="1" applyAlignment="1">
      <alignment horizontal="center"/>
    </xf>
    <xf numFmtId="170" fontId="20" fillId="0" borderId="0" xfId="0" applyNumberFormat="1" applyFont="1" applyAlignment="1">
      <alignment horizontal="center"/>
    </xf>
    <xf numFmtId="169" fontId="20" fillId="0" borderId="34" xfId="0" applyNumberFormat="1" applyFont="1" applyBorder="1" applyAlignment="1">
      <alignment horizontal="center"/>
    </xf>
    <xf numFmtId="165" fontId="17" fillId="16" borderId="9" xfId="0" applyFont="1" applyFill="1" applyBorder="1"/>
    <xf numFmtId="169" fontId="20" fillId="0" borderId="37" xfId="0" applyNumberFormat="1" applyFont="1" applyBorder="1" applyAlignment="1">
      <alignment horizontal="center"/>
    </xf>
    <xf numFmtId="169" fontId="20" fillId="0" borderId="0" xfId="0" applyNumberFormat="1" applyFont="1" applyAlignment="1">
      <alignment horizontal="center"/>
    </xf>
    <xf numFmtId="165" fontId="20" fillId="16" borderId="3" xfId="0" applyFont="1" applyFill="1" applyBorder="1"/>
    <xf numFmtId="165" fontId="20" fillId="16" borderId="5" xfId="0" applyFont="1" applyFill="1" applyBorder="1"/>
    <xf numFmtId="165" fontId="17" fillId="0" borderId="37" xfId="0" applyFont="1" applyBorder="1" applyAlignment="1">
      <alignment horizontal="center"/>
    </xf>
    <xf numFmtId="169" fontId="31" fillId="0" borderId="31" xfId="0" applyNumberFormat="1" applyFont="1" applyBorder="1" applyAlignment="1">
      <alignment horizontal="center" vertical="center" wrapText="1"/>
    </xf>
    <xf numFmtId="169" fontId="31" fillId="0" borderId="33" xfId="0" applyNumberFormat="1" applyFont="1" applyBorder="1" applyAlignment="1">
      <alignment horizontal="center" vertical="center" wrapText="1"/>
    </xf>
    <xf numFmtId="169" fontId="31" fillId="0" borderId="39" xfId="0" applyNumberFormat="1" applyFont="1" applyBorder="1" applyAlignment="1">
      <alignment horizontal="center" vertical="center" wrapText="1"/>
    </xf>
    <xf numFmtId="165" fontId="17" fillId="0" borderId="40" xfId="0" applyFont="1" applyBorder="1"/>
    <xf numFmtId="165" fontId="20" fillId="0" borderId="40" xfId="0" applyFont="1" applyBorder="1"/>
    <xf numFmtId="49" fontId="20" fillId="0" borderId="41" xfId="0" applyNumberFormat="1" applyFont="1" applyBorder="1"/>
    <xf numFmtId="0" fontId="17" fillId="13" borderId="45" xfId="0" applyNumberFormat="1" applyFont="1" applyFill="1" applyBorder="1"/>
    <xf numFmtId="0" fontId="17" fillId="13" borderId="40" xfId="0" applyNumberFormat="1" applyFont="1" applyFill="1" applyBorder="1"/>
    <xf numFmtId="0" fontId="17" fillId="13" borderId="40" xfId="0" applyNumberFormat="1" applyFont="1" applyFill="1" applyBorder="1" applyAlignment="1">
      <alignment wrapText="1"/>
    </xf>
    <xf numFmtId="0" fontId="20" fillId="14" borderId="23" xfId="2" applyNumberFormat="1" applyFont="1" applyFill="1" applyBorder="1" applyAlignment="1">
      <alignment horizontal="center" vertical="center"/>
    </xf>
    <xf numFmtId="0" fontId="20" fillId="0" borderId="40" xfId="0" applyNumberFormat="1" applyFont="1" applyBorder="1"/>
    <xf numFmtId="14" fontId="20" fillId="15" borderId="23" xfId="0" applyNumberFormat="1" applyFont="1" applyFill="1" applyBorder="1" applyProtection="1">
      <protection locked="0"/>
    </xf>
    <xf numFmtId="168" fontId="20" fillId="14" borderId="23" xfId="2" applyNumberFormat="1" applyFont="1" applyFill="1" applyBorder="1" applyAlignment="1">
      <alignment horizontal="right"/>
    </xf>
    <xf numFmtId="169" fontId="17" fillId="6" borderId="34" xfId="0" applyNumberFormat="1" applyFont="1" applyFill="1" applyBorder="1"/>
    <xf numFmtId="165" fontId="17" fillId="16" borderId="26" xfId="0" applyFont="1" applyFill="1" applyBorder="1" applyAlignment="1">
      <alignment horizontal="center"/>
    </xf>
    <xf numFmtId="165" fontId="20" fillId="16" borderId="19" xfId="0" applyFont="1" applyFill="1" applyBorder="1" applyAlignment="1">
      <alignment horizontal="center" vertical="center" wrapText="1"/>
    </xf>
    <xf numFmtId="165" fontId="20" fillId="16" borderId="46" xfId="0" applyFont="1" applyFill="1" applyBorder="1" applyAlignment="1">
      <alignment horizontal="center" vertical="center" wrapText="1"/>
    </xf>
    <xf numFmtId="169" fontId="20" fillId="16" borderId="26" xfId="0" applyNumberFormat="1" applyFont="1" applyFill="1" applyBorder="1" applyAlignment="1">
      <alignment horizontal="center"/>
    </xf>
    <xf numFmtId="169" fontId="17" fillId="16" borderId="42" xfId="0" applyNumberFormat="1" applyFont="1" applyFill="1" applyBorder="1"/>
    <xf numFmtId="14" fontId="20" fillId="16" borderId="38" xfId="0" applyNumberFormat="1" applyFont="1" applyFill="1" applyBorder="1" applyAlignment="1">
      <alignment horizontal="right"/>
    </xf>
    <xf numFmtId="165" fontId="20" fillId="0" borderId="32" xfId="0" applyFont="1" applyBorder="1"/>
    <xf numFmtId="169" fontId="20" fillId="16" borderId="17" xfId="0" applyNumberFormat="1" applyFont="1" applyFill="1" applyBorder="1" applyAlignment="1">
      <alignment horizontal="center"/>
    </xf>
    <xf numFmtId="169" fontId="20" fillId="0" borderId="27" xfId="0" applyNumberFormat="1" applyFont="1" applyBorder="1" applyAlignment="1">
      <alignment horizontal="center"/>
    </xf>
    <xf numFmtId="169" fontId="20" fillId="0" borderId="17" xfId="0" applyNumberFormat="1" applyFont="1" applyBorder="1" applyAlignment="1">
      <alignment horizontal="center"/>
    </xf>
    <xf numFmtId="169" fontId="20" fillId="0" borderId="43" xfId="0" applyNumberFormat="1" applyFont="1" applyBorder="1" applyAlignment="1">
      <alignment horizontal="center"/>
    </xf>
    <xf numFmtId="0" fontId="20" fillId="0" borderId="23" xfId="0" applyNumberFormat="1" applyFont="1" applyBorder="1"/>
    <xf numFmtId="165" fontId="20" fillId="0" borderId="23" xfId="0" applyFont="1" applyBorder="1"/>
    <xf numFmtId="165" fontId="17" fillId="0" borderId="41" xfId="0" applyFont="1" applyBorder="1"/>
    <xf numFmtId="168" fontId="20" fillId="14" borderId="44" xfId="2" applyNumberFormat="1" applyFont="1" applyFill="1" applyBorder="1" applyAlignment="1">
      <alignment horizontal="right"/>
    </xf>
    <xf numFmtId="14" fontId="0" fillId="0" borderId="0" xfId="0" applyNumberFormat="1"/>
    <xf numFmtId="2" fontId="0" fillId="0" borderId="0" xfId="0" applyNumberFormat="1"/>
    <xf numFmtId="165" fontId="27" fillId="0" borderId="0" xfId="0" applyFont="1"/>
    <xf numFmtId="165" fontId="32" fillId="0" borderId="0" xfId="0" applyFont="1"/>
    <xf numFmtId="165" fontId="20" fillId="0" borderId="32" xfId="0" applyFont="1" applyBorder="1" applyAlignment="1">
      <alignment vertical="center" wrapText="1"/>
    </xf>
    <xf numFmtId="9" fontId="20" fillId="16" borderId="27" xfId="6" applyFont="1" applyFill="1" applyBorder="1" applyAlignment="1">
      <alignment horizontal="center" vertical="center"/>
    </xf>
    <xf numFmtId="9" fontId="20" fillId="0" borderId="27" xfId="6" applyFont="1" applyBorder="1" applyAlignment="1">
      <alignment horizontal="center" vertical="center"/>
    </xf>
    <xf numFmtId="165" fontId="20" fillId="0" borderId="0" xfId="0" applyFont="1" applyAlignment="1">
      <alignment vertical="center"/>
    </xf>
    <xf numFmtId="169" fontId="20" fillId="16" borderId="34" xfId="0" applyNumberFormat="1" applyFont="1" applyFill="1" applyBorder="1" applyAlignment="1">
      <alignment horizontal="center"/>
    </xf>
    <xf numFmtId="165" fontId="8" fillId="0" borderId="0" xfId="0" applyFont="1" applyAlignment="1">
      <alignment horizontal="center" vertical="center"/>
    </xf>
    <xf numFmtId="49" fontId="20" fillId="0" borderId="41" xfId="0" applyNumberFormat="1" applyFont="1" applyBorder="1" applyAlignment="1">
      <alignment vertical="center"/>
    </xf>
    <xf numFmtId="165" fontId="20" fillId="0" borderId="40" xfId="0" applyFont="1" applyBorder="1" applyAlignment="1">
      <alignment vertical="center"/>
    </xf>
    <xf numFmtId="165" fontId="20" fillId="0" borderId="0" xfId="0" applyFont="1" applyAlignment="1">
      <alignment vertical="center" wrapText="1"/>
    </xf>
    <xf numFmtId="165" fontId="30" fillId="0" borderId="26" xfId="0" applyFont="1" applyBorder="1" applyAlignment="1">
      <alignment horizontal="center" vertical="center" wrapText="1"/>
    </xf>
    <xf numFmtId="165" fontId="20" fillId="0" borderId="0" xfId="0" applyFont="1" applyAlignment="1">
      <alignment horizontal="center" vertical="center"/>
    </xf>
    <xf numFmtId="165" fontId="30" fillId="0" borderId="37" xfId="0" applyFont="1" applyBorder="1" applyAlignment="1">
      <alignment horizontal="center" vertical="center" wrapText="1"/>
    </xf>
    <xf numFmtId="9" fontId="20" fillId="0" borderId="48" xfId="6" applyFont="1" applyBorder="1" applyAlignment="1">
      <alignment horizontal="center" vertical="center"/>
    </xf>
    <xf numFmtId="169" fontId="20" fillId="0" borderId="38" xfId="0" applyNumberFormat="1" applyFont="1" applyBorder="1" applyAlignment="1">
      <alignment horizontal="center"/>
    </xf>
    <xf numFmtId="169" fontId="5" fillId="0" borderId="0" xfId="1" applyNumberFormat="1" applyFont="1" applyFill="1" applyBorder="1" applyAlignment="1" applyProtection="1">
      <alignment vertical="center"/>
    </xf>
    <xf numFmtId="169" fontId="6" fillId="4" borderId="0" xfId="1" applyNumberFormat="1" applyFont="1" applyFill="1" applyBorder="1" applyAlignment="1" applyProtection="1">
      <alignment horizontal="center" vertical="center"/>
    </xf>
    <xf numFmtId="169" fontId="7" fillId="4" borderId="0" xfId="1" applyNumberFormat="1" applyFont="1" applyFill="1" applyBorder="1" applyAlignment="1" applyProtection="1">
      <alignment vertical="center"/>
    </xf>
    <xf numFmtId="169" fontId="6" fillId="4" borderId="5" xfId="1" applyNumberFormat="1" applyFont="1" applyFill="1" applyBorder="1" applyAlignment="1" applyProtection="1">
      <alignment horizontal="center" vertical="center"/>
    </xf>
    <xf numFmtId="169" fontId="6" fillId="4" borderId="6" xfId="1" applyNumberFormat="1" applyFont="1" applyFill="1" applyBorder="1" applyAlignment="1" applyProtection="1">
      <alignment horizontal="center" vertical="center"/>
    </xf>
    <xf numFmtId="169" fontId="5" fillId="9" borderId="15" xfId="1" applyNumberFormat="1" applyFont="1" applyFill="1" applyBorder="1" applyAlignment="1" applyProtection="1">
      <alignment vertical="center"/>
    </xf>
    <xf numFmtId="169" fontId="5" fillId="9" borderId="6" xfId="1" applyNumberFormat="1" applyFont="1" applyFill="1" applyBorder="1" applyAlignment="1" applyProtection="1">
      <alignment vertical="center"/>
    </xf>
    <xf numFmtId="169" fontId="6" fillId="4" borderId="6" xfId="1" applyNumberFormat="1" applyFont="1" applyFill="1" applyBorder="1" applyAlignment="1" applyProtection="1">
      <alignment vertical="center"/>
    </xf>
    <xf numFmtId="169" fontId="5" fillId="9" borderId="6" xfId="1" applyNumberFormat="1" applyFont="1" applyFill="1" applyBorder="1" applyAlignment="1" applyProtection="1">
      <alignment horizontal="right" vertical="center" wrapText="1"/>
    </xf>
    <xf numFmtId="169" fontId="6" fillId="3" borderId="8" xfId="1" applyNumberFormat="1" applyFont="1" applyFill="1" applyBorder="1" applyAlignment="1" applyProtection="1">
      <alignment vertical="center"/>
    </xf>
    <xf numFmtId="169" fontId="5" fillId="4" borderId="0" xfId="1" applyNumberFormat="1" applyFont="1" applyFill="1" applyBorder="1" applyAlignment="1" applyProtection="1">
      <alignment vertical="center"/>
    </xf>
    <xf numFmtId="169" fontId="5" fillId="2" borderId="6" xfId="1" applyNumberFormat="1" applyFont="1" applyFill="1" applyBorder="1" applyAlignment="1" applyProtection="1">
      <alignment vertical="center"/>
      <protection locked="0"/>
    </xf>
    <xf numFmtId="169" fontId="6" fillId="3" borderId="10" xfId="1" applyNumberFormat="1" applyFont="1" applyFill="1" applyBorder="1" applyAlignment="1" applyProtection="1">
      <alignment vertical="center"/>
    </xf>
    <xf numFmtId="169" fontId="6" fillId="2" borderId="6" xfId="1" applyNumberFormat="1" applyFont="1" applyFill="1" applyBorder="1" applyAlignment="1" applyProtection="1">
      <alignment vertical="center"/>
      <protection locked="0"/>
    </xf>
    <xf numFmtId="169" fontId="6" fillId="2" borderId="13" xfId="1" applyNumberFormat="1" applyFont="1" applyFill="1" applyBorder="1" applyAlignment="1" applyProtection="1">
      <alignment vertical="center"/>
      <protection locked="0"/>
    </xf>
    <xf numFmtId="169" fontId="13" fillId="7" borderId="11" xfId="3" applyNumberFormat="1" applyFont="1" applyFill="1" applyBorder="1" applyAlignment="1">
      <alignment horizontal="left"/>
    </xf>
    <xf numFmtId="169" fontId="0" fillId="0" borderId="0" xfId="0" applyNumberFormat="1"/>
    <xf numFmtId="169" fontId="6" fillId="6" borderId="0" xfId="1" applyNumberFormat="1" applyFont="1" applyFill="1" applyBorder="1" applyAlignment="1" applyProtection="1">
      <alignment vertical="center" wrapText="1"/>
    </xf>
    <xf numFmtId="166" fontId="12" fillId="4" borderId="23" xfId="1" applyNumberFormat="1" applyFont="1" applyFill="1" applyBorder="1" applyAlignment="1" applyProtection="1">
      <alignment vertical="center"/>
    </xf>
    <xf numFmtId="166" fontId="12" fillId="4" borderId="31" xfId="1" applyNumberFormat="1" applyFont="1" applyFill="1" applyBorder="1" applyAlignment="1" applyProtection="1">
      <alignment vertical="center"/>
    </xf>
    <xf numFmtId="165" fontId="30" fillId="6" borderId="0" xfId="0" applyFont="1" applyFill="1"/>
    <xf numFmtId="169" fontId="6" fillId="3" borderId="6" xfId="1" applyNumberFormat="1" applyFont="1" applyFill="1" applyBorder="1" applyAlignment="1" applyProtection="1">
      <alignment vertical="center"/>
      <protection hidden="1"/>
    </xf>
    <xf numFmtId="169" fontId="17" fillId="6" borderId="38" xfId="0" applyNumberFormat="1" applyFont="1" applyFill="1" applyBorder="1"/>
    <xf numFmtId="165" fontId="17" fillId="16" borderId="49" xfId="0" applyFont="1" applyFill="1" applyBorder="1" applyAlignment="1">
      <alignment horizontal="left"/>
    </xf>
    <xf numFmtId="165" fontId="17" fillId="16" borderId="25" xfId="0" applyFont="1" applyFill="1" applyBorder="1" applyAlignment="1">
      <alignment horizontal="left"/>
    </xf>
    <xf numFmtId="165" fontId="17" fillId="16" borderId="0" xfId="0" applyFont="1" applyFill="1" applyAlignment="1">
      <alignment horizontal="left"/>
    </xf>
    <xf numFmtId="165" fontId="17" fillId="16" borderId="6" xfId="0" applyFont="1" applyFill="1" applyBorder="1" applyAlignment="1">
      <alignment horizontal="left"/>
    </xf>
    <xf numFmtId="0" fontId="24" fillId="0" borderId="0" xfId="4" applyFont="1" applyProtection="1">
      <protection hidden="1"/>
    </xf>
    <xf numFmtId="0" fontId="2" fillId="0" borderId="0" xfId="4" applyProtection="1">
      <protection hidden="1"/>
    </xf>
    <xf numFmtId="165" fontId="8" fillId="0" borderId="0" xfId="0" applyFont="1" applyAlignment="1" applyProtection="1">
      <alignment vertical="center"/>
      <protection hidden="1"/>
    </xf>
    <xf numFmtId="165" fontId="8" fillId="0" borderId="0" xfId="0" applyFont="1" applyAlignment="1" applyProtection="1">
      <alignment horizontal="center" vertical="center"/>
      <protection hidden="1"/>
    </xf>
    <xf numFmtId="165" fontId="8" fillId="4" borderId="0" xfId="0" applyFont="1" applyFill="1" applyAlignment="1" applyProtection="1">
      <alignment vertical="center"/>
      <protection hidden="1"/>
    </xf>
    <xf numFmtId="165" fontId="16" fillId="4" borderId="0" xfId="0" applyFont="1" applyFill="1" applyAlignment="1" applyProtection="1">
      <alignment vertical="center"/>
      <protection hidden="1"/>
    </xf>
    <xf numFmtId="165" fontId="8" fillId="4" borderId="0" xfId="0" applyFont="1" applyFill="1" applyAlignment="1" applyProtection="1">
      <alignment horizontal="center" vertical="center"/>
      <protection hidden="1"/>
    </xf>
    <xf numFmtId="166" fontId="6" fillId="4" borderId="0" xfId="1" applyNumberFormat="1" applyFont="1" applyFill="1" applyBorder="1" applyAlignment="1" applyProtection="1">
      <alignment vertical="center"/>
      <protection hidden="1"/>
    </xf>
    <xf numFmtId="166" fontId="6" fillId="6" borderId="0" xfId="1" applyNumberFormat="1" applyFont="1" applyFill="1" applyBorder="1" applyAlignment="1" applyProtection="1">
      <alignment vertical="center"/>
      <protection hidden="1"/>
    </xf>
    <xf numFmtId="0" fontId="19" fillId="6" borderId="0" xfId="5" applyFont="1" applyFill="1" applyAlignment="1" applyProtection="1">
      <alignment horizontal="center"/>
      <protection hidden="1"/>
    </xf>
    <xf numFmtId="165" fontId="8" fillId="6" borderId="0" xfId="0" applyFont="1" applyFill="1" applyAlignment="1" applyProtection="1">
      <alignment vertical="center"/>
      <protection hidden="1"/>
    </xf>
    <xf numFmtId="165" fontId="8" fillId="6" borderId="0" xfId="0" applyFont="1" applyFill="1" applyAlignment="1" applyProtection="1">
      <alignment horizontal="center" vertical="center"/>
      <protection hidden="1"/>
    </xf>
    <xf numFmtId="165" fontId="15" fillId="0" borderId="0" xfId="0" applyFont="1" applyAlignment="1" applyProtection="1">
      <alignment horizontal="center" vertical="center"/>
      <protection hidden="1"/>
    </xf>
    <xf numFmtId="169" fontId="8" fillId="4" borderId="3" xfId="0" applyNumberFormat="1" applyFont="1" applyFill="1" applyBorder="1" applyAlignment="1" applyProtection="1">
      <alignment horizontal="center" vertical="center"/>
      <protection hidden="1"/>
    </xf>
    <xf numFmtId="166" fontId="7" fillId="4" borderId="3" xfId="1" applyNumberFormat="1" applyFont="1" applyFill="1" applyBorder="1" applyAlignment="1" applyProtection="1">
      <alignment horizontal="center" vertical="center"/>
      <protection hidden="1"/>
    </xf>
    <xf numFmtId="165" fontId="7" fillId="4" borderId="0" xfId="0" applyFont="1" applyFill="1" applyAlignment="1" applyProtection="1">
      <alignment horizontal="left" vertical="center"/>
      <protection hidden="1"/>
    </xf>
    <xf numFmtId="169" fontId="7" fillId="4" borderId="0" xfId="0" applyNumberFormat="1" applyFont="1" applyFill="1" applyAlignment="1" applyProtection="1">
      <alignment horizontal="center" vertical="center"/>
      <protection hidden="1"/>
    </xf>
    <xf numFmtId="165" fontId="7" fillId="4" borderId="0" xfId="0" applyFont="1" applyFill="1" applyAlignment="1" applyProtection="1">
      <alignment horizontal="center" vertical="center"/>
      <protection hidden="1"/>
    </xf>
    <xf numFmtId="49" fontId="33" fillId="4" borderId="3" xfId="0" applyNumberFormat="1" applyFont="1" applyFill="1" applyBorder="1" applyAlignment="1" applyProtection="1">
      <alignment horizontal="fill" vertical="center"/>
      <protection hidden="1"/>
    </xf>
    <xf numFmtId="0" fontId="8" fillId="4" borderId="0" xfId="0" applyNumberFormat="1" applyFont="1" applyFill="1" applyAlignment="1" applyProtection="1">
      <alignment horizontal="left" vertical="center"/>
      <protection hidden="1"/>
    </xf>
    <xf numFmtId="169" fontId="8" fillId="8" borderId="0" xfId="0" applyNumberFormat="1" applyFont="1" applyFill="1" applyAlignment="1" applyProtection="1">
      <alignment vertical="center"/>
      <protection hidden="1"/>
    </xf>
    <xf numFmtId="169" fontId="8" fillId="4" borderId="3" xfId="0" applyNumberFormat="1" applyFont="1" applyFill="1" applyBorder="1" applyAlignment="1" applyProtection="1">
      <alignment vertical="center"/>
      <protection hidden="1"/>
    </xf>
    <xf numFmtId="3" fontId="8" fillId="4" borderId="3" xfId="0" applyNumberFormat="1" applyFont="1" applyFill="1" applyBorder="1" applyAlignment="1" applyProtection="1">
      <alignment vertical="center"/>
      <protection hidden="1"/>
    </xf>
    <xf numFmtId="9" fontId="8" fillId="8" borderId="3" xfId="0" applyNumberFormat="1" applyFont="1" applyFill="1" applyBorder="1" applyAlignment="1" applyProtection="1">
      <alignment horizontal="center" vertical="center"/>
      <protection hidden="1"/>
    </xf>
    <xf numFmtId="169" fontId="8" fillId="8" borderId="3" xfId="0" applyNumberFormat="1" applyFont="1" applyFill="1" applyBorder="1" applyAlignment="1" applyProtection="1">
      <alignment vertical="center"/>
      <protection hidden="1"/>
    </xf>
    <xf numFmtId="165" fontId="27" fillId="8" borderId="5" xfId="0" applyFont="1" applyFill="1" applyBorder="1" applyAlignment="1" applyProtection="1">
      <alignment vertical="center"/>
      <protection hidden="1"/>
    </xf>
    <xf numFmtId="165" fontId="33" fillId="4" borderId="0" xfId="0" applyFont="1" applyFill="1" applyAlignment="1" applyProtection="1">
      <alignment vertical="center"/>
      <protection hidden="1"/>
    </xf>
    <xf numFmtId="0" fontId="33" fillId="4" borderId="0" xfId="0" applyNumberFormat="1" applyFont="1" applyFill="1" applyAlignment="1" applyProtection="1">
      <alignment vertical="center"/>
      <protection hidden="1"/>
    </xf>
    <xf numFmtId="49" fontId="33" fillId="4" borderId="0" xfId="0" applyNumberFormat="1" applyFont="1" applyFill="1" applyAlignment="1" applyProtection="1">
      <alignment horizontal="fill" vertical="center"/>
      <protection hidden="1"/>
    </xf>
    <xf numFmtId="169" fontId="8" fillId="4" borderId="0" xfId="0" applyNumberFormat="1" applyFont="1" applyFill="1" applyAlignment="1" applyProtection="1">
      <alignment vertical="center"/>
      <protection hidden="1"/>
    </xf>
    <xf numFmtId="3" fontId="8" fillId="4" borderId="0" xfId="0" applyNumberFormat="1" applyFont="1" applyFill="1" applyAlignment="1" applyProtection="1">
      <alignment vertical="center"/>
      <protection hidden="1"/>
    </xf>
    <xf numFmtId="9" fontId="8" fillId="8" borderId="0" xfId="0" applyNumberFormat="1" applyFont="1" applyFill="1" applyAlignment="1" applyProtection="1">
      <alignment horizontal="center" vertical="center"/>
      <protection hidden="1"/>
    </xf>
    <xf numFmtId="165" fontId="27" fillId="8" borderId="6" xfId="0" applyFont="1" applyFill="1" applyBorder="1" applyAlignment="1" applyProtection="1">
      <alignment vertical="center"/>
      <protection hidden="1"/>
    </xf>
    <xf numFmtId="165" fontId="33" fillId="4" borderId="4" xfId="0" applyFont="1" applyFill="1" applyBorder="1" applyAlignment="1" applyProtection="1">
      <alignment vertical="center"/>
      <protection hidden="1"/>
    </xf>
    <xf numFmtId="0" fontId="33" fillId="4" borderId="4" xfId="0" applyNumberFormat="1" applyFont="1" applyFill="1" applyBorder="1" applyAlignment="1" applyProtection="1">
      <alignment vertical="center"/>
      <protection hidden="1"/>
    </xf>
    <xf numFmtId="165" fontId="8" fillId="4" borderId="4" xfId="0" applyFont="1" applyFill="1" applyBorder="1" applyAlignment="1" applyProtection="1">
      <alignment vertical="center"/>
      <protection hidden="1"/>
    </xf>
    <xf numFmtId="49" fontId="33" fillId="4" borderId="4" xfId="0" applyNumberFormat="1" applyFont="1" applyFill="1" applyBorder="1" applyAlignment="1" applyProtection="1">
      <alignment horizontal="fill" vertical="center"/>
      <protection hidden="1"/>
    </xf>
    <xf numFmtId="169" fontId="8" fillId="8" borderId="4" xfId="0" applyNumberFormat="1" applyFont="1" applyFill="1" applyBorder="1" applyAlignment="1" applyProtection="1">
      <alignment vertical="center"/>
      <protection hidden="1"/>
    </xf>
    <xf numFmtId="169" fontId="8" fillId="4" borderId="4" xfId="0" applyNumberFormat="1" applyFont="1" applyFill="1" applyBorder="1" applyAlignment="1" applyProtection="1">
      <alignment vertical="center"/>
      <protection hidden="1"/>
    </xf>
    <xf numFmtId="3" fontId="8" fillId="4" borderId="4" xfId="0" applyNumberFormat="1" applyFont="1" applyFill="1" applyBorder="1" applyAlignment="1" applyProtection="1">
      <alignment vertical="center"/>
      <protection hidden="1"/>
    </xf>
    <xf numFmtId="9" fontId="8" fillId="8" borderId="4" xfId="0" applyNumberFormat="1" applyFont="1" applyFill="1" applyBorder="1" applyAlignment="1" applyProtection="1">
      <alignment horizontal="center" vertical="center"/>
      <protection hidden="1"/>
    </xf>
    <xf numFmtId="165" fontId="27" fillId="8" borderId="13" xfId="0" applyFont="1" applyFill="1" applyBorder="1" applyAlignment="1" applyProtection="1">
      <alignment vertical="center"/>
      <protection hidden="1"/>
    </xf>
    <xf numFmtId="3" fontId="8" fillId="0" borderId="0" xfId="0" applyNumberFormat="1" applyFont="1" applyAlignment="1" applyProtection="1">
      <alignment vertical="center"/>
      <protection hidden="1"/>
    </xf>
    <xf numFmtId="167" fontId="8" fillId="4" borderId="0" xfId="0" applyNumberFormat="1" applyFont="1" applyFill="1" applyAlignment="1" applyProtection="1">
      <alignment vertical="center"/>
      <protection hidden="1"/>
    </xf>
    <xf numFmtId="1" fontId="8" fillId="0" borderId="0" xfId="0" applyNumberFormat="1" applyFont="1" applyAlignment="1" applyProtection="1">
      <alignment vertical="center"/>
      <protection hidden="1"/>
    </xf>
    <xf numFmtId="167" fontId="8" fillId="4" borderId="0" xfId="0" applyNumberFormat="1" applyFont="1" applyFill="1" applyAlignment="1" applyProtection="1">
      <alignment horizontal="center" vertical="center"/>
      <protection hidden="1"/>
    </xf>
    <xf numFmtId="165" fontId="27" fillId="4" borderId="6" xfId="0" applyFont="1" applyFill="1" applyBorder="1" applyAlignment="1" applyProtection="1">
      <alignment vertical="center"/>
      <protection hidden="1"/>
    </xf>
    <xf numFmtId="165" fontId="7" fillId="4" borderId="0" xfId="0" applyFont="1" applyFill="1" applyAlignment="1" applyProtection="1">
      <alignment horizontal="right" vertical="center"/>
      <protection hidden="1"/>
    </xf>
    <xf numFmtId="3" fontId="7" fillId="8" borderId="12" xfId="0" applyNumberFormat="1" applyFont="1" applyFill="1" applyBorder="1" applyAlignment="1" applyProtection="1">
      <alignment vertical="center"/>
      <protection hidden="1"/>
    </xf>
    <xf numFmtId="167" fontId="7" fillId="4" borderId="4" xfId="0" applyNumberFormat="1" applyFont="1" applyFill="1" applyBorder="1" applyAlignment="1" applyProtection="1">
      <alignment vertical="center"/>
      <protection hidden="1"/>
    </xf>
    <xf numFmtId="3" fontId="7" fillId="4" borderId="4" xfId="0" applyNumberFormat="1" applyFont="1" applyFill="1" applyBorder="1" applyAlignment="1" applyProtection="1">
      <alignment vertical="center"/>
      <protection hidden="1"/>
    </xf>
    <xf numFmtId="9" fontId="7" fillId="8" borderId="12" xfId="6" applyFont="1" applyFill="1" applyBorder="1" applyAlignment="1" applyProtection="1">
      <alignment horizontal="center" vertical="center"/>
      <protection hidden="1"/>
    </xf>
    <xf numFmtId="9" fontId="6" fillId="3" borderId="5" xfId="6" applyFont="1" applyFill="1" applyBorder="1" applyAlignment="1" applyProtection="1">
      <alignment horizontal="right" vertical="center"/>
      <protection hidden="1"/>
    </xf>
    <xf numFmtId="165" fontId="34" fillId="17" borderId="22" xfId="0" applyFont="1" applyFill="1" applyBorder="1"/>
    <xf numFmtId="165" fontId="35" fillId="17" borderId="24" xfId="0" applyFont="1" applyFill="1" applyBorder="1"/>
    <xf numFmtId="165" fontId="35" fillId="17" borderId="27" xfId="0" applyFont="1" applyFill="1" applyBorder="1"/>
    <xf numFmtId="165" fontId="7" fillId="11" borderId="21" xfId="0" applyFont="1" applyFill="1" applyBorder="1"/>
    <xf numFmtId="165" fontId="0" fillId="11" borderId="0" xfId="0" applyFill="1"/>
    <xf numFmtId="165" fontId="0" fillId="11" borderId="28" xfId="0" applyFill="1" applyBorder="1"/>
    <xf numFmtId="165" fontId="7" fillId="11" borderId="21" xfId="0" applyFont="1" applyFill="1" applyBorder="1" applyAlignment="1">
      <alignment wrapText="1"/>
    </xf>
    <xf numFmtId="165" fontId="7" fillId="11" borderId="0" xfId="0" applyFont="1" applyFill="1"/>
    <xf numFmtId="165" fontId="2" fillId="0" borderId="0" xfId="0" applyFont="1"/>
    <xf numFmtId="165" fontId="36" fillId="4" borderId="2" xfId="0" applyFont="1" applyFill="1" applyBorder="1" applyAlignment="1" applyProtection="1">
      <alignment vertical="center"/>
      <protection hidden="1"/>
    </xf>
    <xf numFmtId="165" fontId="36" fillId="4" borderId="7" xfId="0" applyFont="1" applyFill="1" applyBorder="1" applyAlignment="1" applyProtection="1">
      <alignment vertical="center"/>
      <protection hidden="1"/>
    </xf>
    <xf numFmtId="0" fontId="7" fillId="19" borderId="17" xfId="3" applyFont="1" applyFill="1" applyBorder="1" applyAlignment="1">
      <alignment horizontal="left"/>
    </xf>
    <xf numFmtId="164" fontId="2" fillId="20" borderId="26" xfId="3" applyNumberFormat="1" applyFill="1" applyBorder="1"/>
    <xf numFmtId="0" fontId="37" fillId="19" borderId="22" xfId="3" applyFont="1" applyFill="1" applyBorder="1" applyAlignment="1">
      <alignment horizontal="left" wrapText="1"/>
    </xf>
    <xf numFmtId="171" fontId="2" fillId="20" borderId="26" xfId="9" applyNumberFormat="1" applyFont="1" applyFill="1" applyBorder="1"/>
    <xf numFmtId="0" fontId="37" fillId="19" borderId="42" xfId="3" applyFont="1" applyFill="1" applyBorder="1" applyAlignment="1">
      <alignment horizontal="center" wrapText="1"/>
    </xf>
    <xf numFmtId="0" fontId="37" fillId="19" borderId="26" xfId="3" applyFont="1" applyFill="1" applyBorder="1" applyAlignment="1">
      <alignment horizontal="center" wrapText="1"/>
    </xf>
    <xf numFmtId="165" fontId="15" fillId="0" borderId="0" xfId="0" applyFont="1"/>
    <xf numFmtId="165" fontId="38" fillId="17" borderId="22" xfId="0" applyFont="1" applyFill="1" applyBorder="1"/>
    <xf numFmtId="165" fontId="0" fillId="21" borderId="0" xfId="0" applyFill="1"/>
    <xf numFmtId="165" fontId="40" fillId="21" borderId="0" xfId="0" applyFont="1" applyFill="1"/>
    <xf numFmtId="165" fontId="39" fillId="21" borderId="0" xfId="0" applyFont="1" applyFill="1" applyAlignment="1">
      <alignment horizontal="right"/>
    </xf>
    <xf numFmtId="0" fontId="41" fillId="12" borderId="26" xfId="10" applyFont="1" applyFill="1" applyBorder="1" applyAlignment="1">
      <alignment horizontal="left"/>
    </xf>
    <xf numFmtId="0" fontId="41" fillId="12" borderId="42" xfId="10" applyFont="1" applyFill="1" applyBorder="1" applyAlignment="1">
      <alignment horizontal="center" wrapText="1"/>
    </xf>
    <xf numFmtId="173" fontId="42" fillId="22" borderId="26" xfId="10" applyNumberFormat="1" applyFont="1" applyFill="1" applyBorder="1"/>
    <xf numFmtId="172" fontId="26" fillId="18" borderId="26" xfId="10" applyNumberFormat="1" applyFont="1" applyFill="1" applyBorder="1" applyProtection="1">
      <protection locked="0"/>
    </xf>
    <xf numFmtId="172" fontId="26" fillId="18" borderId="26" xfId="10" applyNumberFormat="1" applyFont="1" applyFill="1" applyBorder="1" applyAlignment="1" applyProtection="1">
      <alignment vertical="top" wrapText="1"/>
      <protection locked="0"/>
    </xf>
    <xf numFmtId="0" fontId="26" fillId="11" borderId="42" xfId="10" applyFont="1" applyFill="1" applyBorder="1" applyAlignment="1">
      <alignment horizontal="left" wrapText="1"/>
    </xf>
    <xf numFmtId="172" fontId="43" fillId="22" borderId="26" xfId="10" applyNumberFormat="1" applyFont="1" applyFill="1" applyBorder="1" applyAlignment="1">
      <alignment horizontal="right" wrapText="1"/>
    </xf>
    <xf numFmtId="0" fontId="26" fillId="11" borderId="26" xfId="10" applyFont="1" applyFill="1" applyBorder="1" applyAlignment="1">
      <alignment horizontal="left" wrapText="1"/>
    </xf>
    <xf numFmtId="14" fontId="26" fillId="18" borderId="26" xfId="10" applyNumberFormat="1" applyFont="1" applyFill="1" applyBorder="1" applyAlignment="1" applyProtection="1">
      <alignment horizontal="center" vertical="center"/>
      <protection locked="0"/>
    </xf>
    <xf numFmtId="166" fontId="8" fillId="0" borderId="0" xfId="1" applyNumberFormat="1" applyFont="1" applyFill="1" applyBorder="1" applyAlignment="1" applyProtection="1">
      <alignment vertical="center"/>
    </xf>
    <xf numFmtId="166" fontId="7" fillId="0" borderId="50" xfId="1" applyNumberFormat="1" applyFont="1" applyFill="1" applyBorder="1" applyAlignment="1" applyProtection="1">
      <alignment vertical="center"/>
    </xf>
    <xf numFmtId="166" fontId="8" fillId="0" borderId="51" xfId="1" applyNumberFormat="1" applyFont="1" applyFill="1" applyBorder="1" applyAlignment="1" applyProtection="1">
      <alignment vertical="center"/>
    </xf>
    <xf numFmtId="165" fontId="0" fillId="0" borderId="52" xfId="0" applyBorder="1"/>
    <xf numFmtId="166" fontId="8" fillId="0" borderId="53" xfId="1" applyNumberFormat="1" applyFont="1" applyFill="1" applyBorder="1" applyAlignment="1" applyProtection="1">
      <alignment vertical="center"/>
    </xf>
    <xf numFmtId="165" fontId="0" fillId="0" borderId="53" xfId="0" applyBorder="1"/>
    <xf numFmtId="0" fontId="44" fillId="0" borderId="0" xfId="10" applyFont="1" applyAlignment="1">
      <alignment horizontal="left" wrapText="1"/>
    </xf>
    <xf numFmtId="1" fontId="5" fillId="2" borderId="0" xfId="1" applyNumberFormat="1" applyFont="1" applyFill="1" applyBorder="1" applyAlignment="1" applyProtection="1">
      <alignment vertical="center"/>
      <protection locked="0"/>
    </xf>
    <xf numFmtId="9" fontId="0" fillId="0" borderId="0" xfId="0" applyNumberFormat="1"/>
    <xf numFmtId="14" fontId="0" fillId="11" borderId="0" xfId="0" applyNumberFormat="1" applyFill="1"/>
    <xf numFmtId="174" fontId="0" fillId="11" borderId="0" xfId="0" applyNumberFormat="1" applyFill="1"/>
    <xf numFmtId="165" fontId="46" fillId="6" borderId="0" xfId="0" applyFont="1" applyFill="1"/>
    <xf numFmtId="165" fontId="26" fillId="6" borderId="0" xfId="0" applyFont="1" applyFill="1"/>
    <xf numFmtId="165" fontId="26" fillId="6" borderId="0" xfId="0" applyFont="1" applyFill="1" applyAlignment="1">
      <alignment vertical="top"/>
    </xf>
    <xf numFmtId="0" fontId="49" fillId="6" borderId="0" xfId="5" applyFont="1" applyFill="1"/>
    <xf numFmtId="165" fontId="26" fillId="6" borderId="0" xfId="2" applyFont="1" applyFill="1"/>
    <xf numFmtId="165" fontId="50" fillId="6" borderId="0" xfId="2" applyFont="1" applyFill="1"/>
    <xf numFmtId="165" fontId="50" fillId="0" borderId="0" xfId="0" applyFont="1"/>
    <xf numFmtId="165" fontId="41" fillId="6" borderId="0" xfId="2" applyFont="1" applyFill="1"/>
    <xf numFmtId="165" fontId="51" fillId="23" borderId="0" xfId="2" applyFont="1" applyFill="1" applyAlignment="1">
      <alignment vertical="center"/>
    </xf>
    <xf numFmtId="165" fontId="52" fillId="23" borderId="0" xfId="2" applyFont="1" applyFill="1"/>
    <xf numFmtId="165" fontId="53" fillId="23" borderId="0" xfId="2" applyFont="1" applyFill="1"/>
    <xf numFmtId="0" fontId="26" fillId="6" borderId="0" xfId="5" applyFont="1" applyFill="1"/>
    <xf numFmtId="0" fontId="41" fillId="6" borderId="0" xfId="5" applyFont="1" applyFill="1"/>
    <xf numFmtId="165" fontId="26" fillId="6" borderId="0" xfId="0" applyFont="1" applyFill="1" applyAlignment="1">
      <alignment horizontal="left" vertical="center" indent="2"/>
    </xf>
    <xf numFmtId="165" fontId="41" fillId="6" borderId="0" xfId="0" applyFont="1" applyFill="1" applyAlignment="1">
      <alignment horizontal="left" vertical="center" indent="2"/>
    </xf>
    <xf numFmtId="165" fontId="52" fillId="6" borderId="0" xfId="2" applyFont="1" applyFill="1"/>
    <xf numFmtId="165" fontId="56" fillId="23" borderId="0" xfId="0" applyFont="1" applyFill="1"/>
    <xf numFmtId="165" fontId="0" fillId="23" borderId="0" xfId="0" applyFill="1"/>
    <xf numFmtId="165" fontId="56" fillId="23" borderId="0" xfId="0" applyFont="1" applyFill="1" applyAlignment="1">
      <alignment horizontal="left" vertical="top" wrapText="1"/>
    </xf>
    <xf numFmtId="165" fontId="58" fillId="23" borderId="0" xfId="0" applyFont="1" applyFill="1" applyAlignment="1">
      <alignment horizontal="left" vertical="top" wrapText="1"/>
    </xf>
    <xf numFmtId="165" fontId="26" fillId="6" borderId="0" xfId="0" applyFont="1" applyFill="1" applyAlignment="1">
      <alignment horizontal="left" vertical="top"/>
    </xf>
    <xf numFmtId="165" fontId="26" fillId="6" borderId="0" xfId="0" applyFont="1" applyFill="1" applyAlignment="1">
      <alignment vertical="center"/>
    </xf>
    <xf numFmtId="165" fontId="58" fillId="23" borderId="0" xfId="0" applyFont="1" applyFill="1"/>
    <xf numFmtId="165" fontId="26" fillId="6" borderId="0" xfId="0" applyFont="1" applyFill="1" applyAlignment="1">
      <alignment horizontal="left"/>
    </xf>
    <xf numFmtId="165" fontId="41" fillId="6" borderId="0" xfId="0" applyFont="1" applyFill="1"/>
    <xf numFmtId="165" fontId="46" fillId="6" borderId="0" xfId="0" applyFont="1" applyFill="1" applyAlignment="1">
      <alignment horizontal="left" vertical="top"/>
    </xf>
    <xf numFmtId="165" fontId="52" fillId="6" borderId="0" xfId="0" applyFont="1" applyFill="1"/>
    <xf numFmtId="165" fontId="60" fillId="6" borderId="0" xfId="0" applyFont="1" applyFill="1"/>
    <xf numFmtId="165" fontId="59" fillId="6" borderId="0" xfId="0" applyFont="1" applyFill="1"/>
    <xf numFmtId="165" fontId="58" fillId="6" borderId="0" xfId="0" applyFont="1" applyFill="1"/>
    <xf numFmtId="165" fontId="55" fillId="0" borderId="0" xfId="0" applyFont="1"/>
    <xf numFmtId="165" fontId="55" fillId="0" borderId="0" xfId="0" applyFont="1" applyAlignment="1">
      <alignment horizontal="left" vertical="center" indent="2"/>
    </xf>
    <xf numFmtId="166" fontId="8" fillId="0" borderId="24" xfId="1" applyNumberFormat="1" applyFont="1" applyFill="1" applyBorder="1" applyAlignment="1" applyProtection="1">
      <alignment vertical="center"/>
    </xf>
    <xf numFmtId="9" fontId="14" fillId="0" borderId="24" xfId="1" applyNumberFormat="1" applyFont="1" applyFill="1" applyBorder="1" applyAlignment="1" applyProtection="1">
      <alignment vertical="center"/>
    </xf>
    <xf numFmtId="9" fontId="14" fillId="0" borderId="0" xfId="1" applyNumberFormat="1" applyFont="1" applyFill="1" applyBorder="1" applyAlignment="1" applyProtection="1">
      <alignment vertical="center"/>
    </xf>
    <xf numFmtId="166" fontId="6" fillId="0" borderId="0" xfId="1" applyNumberFormat="1" applyFont="1" applyFill="1" applyBorder="1" applyAlignment="1" applyProtection="1">
      <alignment horizontal="left" vertical="center"/>
    </xf>
    <xf numFmtId="166" fontId="6" fillId="0" borderId="7" xfId="1" applyNumberFormat="1" applyFont="1" applyFill="1" applyBorder="1" applyAlignment="1" applyProtection="1">
      <alignment vertical="center"/>
    </xf>
    <xf numFmtId="166" fontId="6" fillId="0" borderId="13" xfId="1" applyNumberFormat="1" applyFont="1" applyFill="1" applyBorder="1" applyAlignment="1" applyProtection="1">
      <alignment vertical="center"/>
      <protection locked="0"/>
    </xf>
    <xf numFmtId="169" fontId="6" fillId="0" borderId="0" xfId="1" applyNumberFormat="1" applyFont="1" applyFill="1" applyBorder="1" applyAlignment="1" applyProtection="1">
      <alignment vertical="center"/>
    </xf>
    <xf numFmtId="167" fontId="7" fillId="0" borderId="0" xfId="1" applyNumberFormat="1" applyFont="1" applyFill="1" applyBorder="1" applyAlignment="1" applyProtection="1">
      <alignment vertical="center"/>
    </xf>
    <xf numFmtId="0" fontId="18" fillId="0" borderId="0" xfId="10" applyFont="1" applyProtection="1">
      <protection locked="0"/>
    </xf>
    <xf numFmtId="0" fontId="2" fillId="0" borderId="0" xfId="10" applyAlignment="1" applyProtection="1">
      <alignment vertical="top"/>
      <protection locked="0"/>
    </xf>
    <xf numFmtId="172" fontId="26" fillId="18" borderId="26" xfId="10" applyNumberFormat="1" applyFont="1" applyFill="1" applyBorder="1" applyAlignment="1">
      <alignment vertical="top" wrapText="1"/>
    </xf>
    <xf numFmtId="9" fontId="41" fillId="12" borderId="42" xfId="10" applyNumberFormat="1" applyFont="1" applyFill="1" applyBorder="1" applyAlignment="1">
      <alignment horizontal="center" wrapText="1"/>
    </xf>
    <xf numFmtId="0" fontId="26" fillId="12" borderId="26" xfId="10" applyFont="1" applyFill="1" applyBorder="1" applyAlignment="1">
      <alignment horizontal="left"/>
    </xf>
    <xf numFmtId="165" fontId="41" fillId="6" borderId="0" xfId="2" applyFont="1" applyFill="1" applyAlignment="1">
      <alignment horizontal="left" indent="2"/>
    </xf>
    <xf numFmtId="166" fontId="63" fillId="4" borderId="0" xfId="1" applyNumberFormat="1" applyFont="1" applyFill="1" applyBorder="1" applyAlignment="1" applyProtection="1">
      <alignment horizontal="right" vertical="center"/>
    </xf>
    <xf numFmtId="165" fontId="8" fillId="2" borderId="2" xfId="0" applyFont="1" applyFill="1" applyBorder="1" applyAlignment="1" applyProtection="1">
      <alignment vertical="center"/>
      <protection locked="0"/>
    </xf>
    <xf numFmtId="165" fontId="8" fillId="0" borderId="0" xfId="0" applyFont="1" applyAlignment="1" applyProtection="1">
      <alignment vertical="center"/>
      <protection locked="0"/>
    </xf>
    <xf numFmtId="165" fontId="7" fillId="11" borderId="0" xfId="0" applyFont="1" applyFill="1" applyAlignment="1">
      <alignment horizontal="left" wrapText="1"/>
    </xf>
    <xf numFmtId="165" fontId="0" fillId="0" borderId="50" xfId="0" applyBorder="1"/>
    <xf numFmtId="9" fontId="14" fillId="0" borderId="21" xfId="1" applyNumberFormat="1" applyFont="1" applyFill="1" applyBorder="1" applyAlignment="1" applyProtection="1">
      <alignment vertical="center"/>
    </xf>
    <xf numFmtId="165" fontId="0" fillId="0" borderId="17" xfId="0" applyBorder="1"/>
    <xf numFmtId="165" fontId="8" fillId="0" borderId="18" xfId="0" applyFont="1" applyBorder="1"/>
    <xf numFmtId="165" fontId="8" fillId="0" borderId="19" xfId="0" applyFont="1" applyBorder="1"/>
    <xf numFmtId="165" fontId="26" fillId="0" borderId="0" xfId="2" applyFont="1"/>
    <xf numFmtId="165" fontId="41" fillId="0" borderId="0" xfId="2" applyFont="1"/>
    <xf numFmtId="165" fontId="55" fillId="0" borderId="0" xfId="0" applyFont="1" applyAlignment="1">
      <alignment horizontal="left" vertical="center" indent="3"/>
    </xf>
    <xf numFmtId="165" fontId="55" fillId="0" borderId="0" xfId="0" applyFont="1" applyAlignment="1">
      <alignment horizontal="left" indent="3"/>
    </xf>
    <xf numFmtId="165" fontId="46" fillId="6" borderId="0" xfId="0" applyFont="1" applyFill="1" applyAlignment="1">
      <alignment horizontal="left" indent="3"/>
    </xf>
    <xf numFmtId="165" fontId="26" fillId="6" borderId="0" xfId="0" applyFont="1" applyFill="1" applyAlignment="1">
      <alignment horizontal="left" indent="3"/>
    </xf>
    <xf numFmtId="0" fontId="33" fillId="4" borderId="3" xfId="0" applyNumberFormat="1" applyFont="1" applyFill="1" applyBorder="1" applyAlignment="1" applyProtection="1">
      <alignment horizontal="fill" vertical="center"/>
      <protection hidden="1"/>
    </xf>
    <xf numFmtId="166" fontId="6" fillId="0" borderId="3" xfId="1" applyNumberFormat="1" applyFont="1" applyFill="1" applyBorder="1" applyAlignment="1" applyProtection="1">
      <alignment vertical="center"/>
    </xf>
    <xf numFmtId="166" fontId="6" fillId="0" borderId="0" xfId="1" applyNumberFormat="1" applyFont="1" applyFill="1" applyBorder="1" applyAlignment="1" applyProtection="1">
      <alignment vertical="center"/>
    </xf>
    <xf numFmtId="166" fontId="6" fillId="6" borderId="0" xfId="1" applyNumberFormat="1" applyFont="1" applyFill="1" applyBorder="1" applyAlignment="1" applyProtection="1">
      <alignment vertical="center"/>
    </xf>
    <xf numFmtId="166" fontId="6" fillId="0" borderId="4" xfId="1" applyNumberFormat="1" applyFont="1" applyFill="1" applyBorder="1" applyAlignment="1" applyProtection="1">
      <alignment vertical="center"/>
    </xf>
    <xf numFmtId="166" fontId="6" fillId="6" borderId="4" xfId="1" applyNumberFormat="1" applyFont="1" applyFill="1" applyBorder="1" applyAlignment="1" applyProtection="1">
      <alignment vertical="center"/>
    </xf>
    <xf numFmtId="169" fontId="6" fillId="3" borderId="8" xfId="1" applyNumberFormat="1" applyFont="1" applyFill="1" applyBorder="1" applyAlignment="1">
      <alignment vertical="center"/>
    </xf>
    <xf numFmtId="169" fontId="6" fillId="3" borderId="0" xfId="1" applyNumberFormat="1" applyFont="1" applyFill="1" applyBorder="1" applyAlignment="1" applyProtection="1">
      <alignment vertical="center"/>
    </xf>
    <xf numFmtId="169" fontId="6" fillId="9" borderId="8" xfId="1" applyNumberFormat="1" applyFont="1" applyFill="1" applyBorder="1" applyAlignment="1">
      <alignment vertical="center"/>
    </xf>
    <xf numFmtId="165" fontId="26" fillId="0" borderId="0" xfId="0" applyFont="1" applyAlignment="1">
      <alignment horizontal="left" vertical="center" indent="2"/>
    </xf>
    <xf numFmtId="0" fontId="8" fillId="4" borderId="0" xfId="1" applyNumberFormat="1" applyFont="1" applyFill="1" applyBorder="1" applyAlignment="1" applyProtection="1">
      <alignment horizontal="right" vertical="center" wrapText="1"/>
    </xf>
    <xf numFmtId="166" fontId="7" fillId="0" borderId="0" xfId="1" applyNumberFormat="1" applyFont="1" applyFill="1" applyBorder="1" applyAlignment="1" applyProtection="1">
      <alignment horizontal="right" vertical="center"/>
    </xf>
    <xf numFmtId="166" fontId="5" fillId="4" borderId="2" xfId="1" applyNumberFormat="1" applyFont="1" applyFill="1" applyBorder="1" applyAlignment="1" applyProtection="1">
      <alignment horizontal="center" vertical="center"/>
    </xf>
    <xf numFmtId="166" fontId="5" fillId="4" borderId="3" xfId="1" applyNumberFormat="1" applyFont="1" applyFill="1" applyBorder="1" applyAlignment="1" applyProtection="1">
      <alignment horizontal="right" vertical="center"/>
    </xf>
    <xf numFmtId="169" fontId="5" fillId="4" borderId="5" xfId="1" applyNumberFormat="1" applyFont="1" applyFill="1" applyBorder="1" applyAlignment="1" applyProtection="1">
      <alignment vertical="center"/>
    </xf>
    <xf numFmtId="169" fontId="5" fillId="4" borderId="6" xfId="1" applyNumberFormat="1" applyFont="1" applyFill="1" applyBorder="1" applyAlignment="1" applyProtection="1">
      <alignment vertical="center"/>
    </xf>
    <xf numFmtId="9" fontId="6" fillId="3" borderId="6" xfId="6" applyFont="1" applyFill="1" applyBorder="1" applyAlignment="1" applyProtection="1">
      <alignment horizontal="right" vertical="center"/>
      <protection hidden="1"/>
    </xf>
    <xf numFmtId="1" fontId="6" fillId="2" borderId="6" xfId="1" applyNumberFormat="1" applyFont="1" applyFill="1" applyBorder="1" applyAlignment="1" applyProtection="1">
      <alignment horizontal="left" vertical="center" indent="1"/>
      <protection locked="0"/>
    </xf>
    <xf numFmtId="0" fontId="33" fillId="4" borderId="0" xfId="0" applyNumberFormat="1" applyFont="1" applyFill="1" applyAlignment="1" applyProtection="1">
      <alignment horizontal="fill" vertical="center"/>
      <protection hidden="1"/>
    </xf>
    <xf numFmtId="165" fontId="33" fillId="4" borderId="2" xfId="0" applyFont="1" applyFill="1" applyBorder="1" applyAlignment="1" applyProtection="1">
      <alignment vertical="center"/>
      <protection hidden="1"/>
    </xf>
    <xf numFmtId="165" fontId="33" fillId="0" borderId="0" xfId="0" applyFont="1" applyAlignment="1">
      <alignment vertical="center"/>
    </xf>
    <xf numFmtId="166" fontId="5" fillId="2" borderId="5" xfId="1" applyNumberFormat="1" applyFont="1" applyFill="1" applyBorder="1" applyAlignment="1" applyProtection="1">
      <alignment horizontal="left" vertical="center"/>
    </xf>
    <xf numFmtId="166" fontId="5" fillId="2" borderId="6" xfId="1" applyNumberFormat="1" applyFont="1" applyFill="1" applyBorder="1" applyAlignment="1" applyProtection="1">
      <alignment horizontal="left" vertical="center"/>
    </xf>
    <xf numFmtId="165" fontId="7" fillId="11" borderId="0" xfId="0" applyFont="1" applyFill="1" applyAlignment="1">
      <alignment wrapText="1"/>
    </xf>
    <xf numFmtId="9" fontId="0" fillId="11" borderId="0" xfId="6" applyFont="1" applyFill="1"/>
    <xf numFmtId="1" fontId="8" fillId="0" borderId="51" xfId="0" applyNumberFormat="1" applyFont="1" applyBorder="1" applyAlignment="1">
      <alignment horizontal="left" vertical="center"/>
    </xf>
    <xf numFmtId="165" fontId="8" fillId="0" borderId="65" xfId="0" applyFont="1" applyBorder="1"/>
    <xf numFmtId="1" fontId="8" fillId="0" borderId="64" xfId="0" applyNumberFormat="1" applyFont="1" applyBorder="1" applyAlignment="1">
      <alignment horizontal="left" vertical="center"/>
    </xf>
    <xf numFmtId="165" fontId="8" fillId="0" borderId="66" xfId="0" applyFont="1" applyBorder="1"/>
    <xf numFmtId="165" fontId="65" fillId="0" borderId="0" xfId="0" applyFont="1" applyAlignment="1">
      <alignment horizontal="right"/>
    </xf>
    <xf numFmtId="165" fontId="0" fillId="0" borderId="22" xfId="0" applyBorder="1"/>
    <xf numFmtId="165" fontId="0" fillId="0" borderId="24" xfId="0" applyBorder="1"/>
    <xf numFmtId="165" fontId="0" fillId="0" borderId="27" xfId="0" applyBorder="1"/>
    <xf numFmtId="165" fontId="0" fillId="0" borderId="21" xfId="0" applyBorder="1"/>
    <xf numFmtId="165" fontId="0" fillId="0" borderId="28" xfId="0" applyBorder="1"/>
    <xf numFmtId="165" fontId="0" fillId="0" borderId="20" xfId="0" applyBorder="1"/>
    <xf numFmtId="165" fontId="0" fillId="0" borderId="25" xfId="0" applyBorder="1"/>
    <xf numFmtId="165" fontId="0" fillId="0" borderId="29" xfId="0" applyBorder="1"/>
    <xf numFmtId="165" fontId="15" fillId="0" borderId="0" xfId="0" applyFont="1" applyAlignment="1">
      <alignment wrapText="1"/>
    </xf>
    <xf numFmtId="1" fontId="8" fillId="10" borderId="26" xfId="3" applyNumberFormat="1" applyFont="1" applyFill="1" applyBorder="1"/>
    <xf numFmtId="172" fontId="8" fillId="10" borderId="26" xfId="3" applyNumberFormat="1" applyFont="1" applyFill="1" applyBorder="1"/>
    <xf numFmtId="165" fontId="8" fillId="2" borderId="0" xfId="0" applyFont="1" applyFill="1" applyAlignment="1" applyProtection="1">
      <alignment vertical="center"/>
      <protection locked="0"/>
    </xf>
    <xf numFmtId="165" fontId="8" fillId="0" borderId="24" xfId="0" applyFont="1" applyBorder="1" applyAlignment="1">
      <alignment vertical="top" wrapText="1"/>
    </xf>
    <xf numFmtId="165" fontId="8" fillId="0" borderId="0" xfId="0" applyFont="1" applyAlignment="1">
      <alignment vertical="top" wrapText="1"/>
    </xf>
    <xf numFmtId="166" fontId="7" fillId="0" borderId="17" xfId="1" applyNumberFormat="1" applyFont="1" applyFill="1" applyBorder="1" applyAlignment="1" applyProtection="1">
      <alignment vertical="center"/>
    </xf>
    <xf numFmtId="166" fontId="6" fillId="4" borderId="9" xfId="1" applyNumberFormat="1" applyFont="1" applyFill="1" applyBorder="1" applyAlignment="1" applyProtection="1">
      <alignment horizontal="left" vertical="center"/>
    </xf>
    <xf numFmtId="166" fontId="6" fillId="4" borderId="2" xfId="1" applyNumberFormat="1" applyFont="1" applyFill="1" applyBorder="1" applyAlignment="1" applyProtection="1">
      <alignment horizontal="left" vertical="center"/>
    </xf>
    <xf numFmtId="166" fontId="5" fillId="4" borderId="2" xfId="1" applyNumberFormat="1" applyFont="1" applyFill="1" applyBorder="1" applyAlignment="1" applyProtection="1">
      <alignment horizontal="left" vertical="center"/>
    </xf>
    <xf numFmtId="166" fontId="6" fillId="4" borderId="7" xfId="1" applyNumberFormat="1" applyFont="1" applyFill="1" applyBorder="1" applyAlignment="1" applyProtection="1">
      <alignment horizontal="left" vertical="center"/>
    </xf>
    <xf numFmtId="1" fontId="8" fillId="0" borderId="0" xfId="0" applyNumberFormat="1" applyFont="1" applyAlignment="1">
      <alignment horizontal="left" vertical="center"/>
    </xf>
    <xf numFmtId="165" fontId="0" fillId="0" borderId="18" xfId="0" applyBorder="1" applyAlignment="1">
      <alignment horizontal="left" vertical="center"/>
    </xf>
    <xf numFmtId="165" fontId="0" fillId="0" borderId="19" xfId="0" applyBorder="1" applyAlignment="1">
      <alignment horizontal="left" vertical="center"/>
    </xf>
    <xf numFmtId="175" fontId="0" fillId="0" borderId="0" xfId="0" applyNumberFormat="1"/>
    <xf numFmtId="165" fontId="55" fillId="0" borderId="0" xfId="0" applyFont="1" applyAlignment="1">
      <alignment horizontal="left" vertical="center"/>
    </xf>
    <xf numFmtId="169" fontId="66" fillId="0" borderId="0" xfId="11" applyNumberFormat="1" applyFont="1"/>
    <xf numFmtId="166" fontId="67" fillId="0" borderId="21" xfId="1" applyNumberFormat="1" applyFont="1" applyFill="1" applyBorder="1" applyAlignment="1" applyProtection="1">
      <alignment vertical="center"/>
    </xf>
    <xf numFmtId="166" fontId="67" fillId="0" borderId="20" xfId="1" applyNumberFormat="1" applyFont="1" applyFill="1" applyBorder="1" applyAlignment="1" applyProtection="1">
      <alignment vertical="center"/>
    </xf>
    <xf numFmtId="172" fontId="8" fillId="0" borderId="21" xfId="3" applyNumberFormat="1" applyFont="1" applyBorder="1"/>
    <xf numFmtId="172" fontId="64" fillId="0" borderId="0" xfId="3" applyNumberFormat="1" applyFont="1"/>
    <xf numFmtId="165" fontId="0" fillId="0" borderId="0" xfId="0" applyAlignment="1">
      <alignment vertical="top"/>
    </xf>
    <xf numFmtId="165" fontId="8" fillId="9" borderId="26" xfId="0" applyFont="1" applyFill="1" applyBorder="1" applyAlignment="1">
      <alignment horizontal="center" vertical="top"/>
    </xf>
    <xf numFmtId="165" fontId="8" fillId="9" borderId="26" xfId="0" applyFont="1" applyFill="1" applyBorder="1" applyAlignment="1">
      <alignment vertical="top"/>
    </xf>
    <xf numFmtId="176" fontId="8" fillId="9" borderId="26" xfId="0" applyNumberFormat="1" applyFont="1" applyFill="1" applyBorder="1" applyAlignment="1">
      <alignment vertical="top"/>
    </xf>
    <xf numFmtId="164" fontId="2" fillId="9" borderId="26" xfId="3" applyNumberFormat="1" applyFill="1" applyBorder="1"/>
    <xf numFmtId="171" fontId="2" fillId="9" borderId="26" xfId="9" applyNumberFormat="1" applyFont="1" applyFill="1" applyBorder="1"/>
    <xf numFmtId="49" fontId="2" fillId="9" borderId="26" xfId="9" applyNumberFormat="1" applyFont="1" applyFill="1" applyBorder="1" applyAlignment="1">
      <alignment horizontal="right"/>
    </xf>
    <xf numFmtId="166" fontId="7" fillId="0" borderId="0" xfId="1" applyNumberFormat="1" applyFont="1" applyFill="1" applyBorder="1" applyAlignment="1" applyProtection="1">
      <alignment vertical="center"/>
    </xf>
    <xf numFmtId="165" fontId="0" fillId="0" borderId="0" xfId="0" applyAlignment="1">
      <alignment horizontal="left"/>
    </xf>
    <xf numFmtId="2" fontId="2" fillId="0" borderId="0" xfId="0" applyNumberFormat="1" applyFont="1"/>
    <xf numFmtId="166" fontId="6" fillId="6" borderId="3" xfId="1" applyNumberFormat="1" applyFont="1" applyFill="1" applyBorder="1" applyAlignment="1" applyProtection="1">
      <alignment vertical="center"/>
    </xf>
    <xf numFmtId="166" fontId="5" fillId="4" borderId="7" xfId="1" applyNumberFormat="1" applyFont="1" applyFill="1" applyBorder="1" applyAlignment="1" applyProtection="1">
      <alignment vertical="center"/>
    </xf>
    <xf numFmtId="166" fontId="5" fillId="4" borderId="4" xfId="1" applyNumberFormat="1" applyFont="1" applyFill="1" applyBorder="1" applyAlignment="1" applyProtection="1">
      <alignment vertical="center"/>
    </xf>
    <xf numFmtId="1" fontId="5" fillId="2" borderId="0" xfId="1" applyNumberFormat="1" applyFont="1" applyFill="1" applyBorder="1" applyAlignment="1" applyProtection="1">
      <alignment horizontal="left" vertical="center"/>
      <protection locked="0"/>
    </xf>
    <xf numFmtId="165" fontId="8" fillId="2" borderId="0" xfId="0" applyFont="1" applyFill="1" applyAlignment="1" applyProtection="1">
      <alignment horizontal="left" vertical="center"/>
      <protection locked="0"/>
    </xf>
    <xf numFmtId="165" fontId="8" fillId="2" borderId="0" xfId="0" applyFont="1" applyFill="1" applyAlignment="1">
      <alignment horizontal="left" vertical="center"/>
    </xf>
    <xf numFmtId="1" fontId="8" fillId="2" borderId="0" xfId="0" applyNumberFormat="1" applyFont="1" applyFill="1" applyAlignment="1" applyProtection="1">
      <alignment horizontal="left" vertical="center"/>
      <protection locked="0"/>
    </xf>
    <xf numFmtId="169" fontId="8" fillId="24" borderId="0" xfId="11" applyNumberFormat="1" applyFont="1" applyFill="1"/>
    <xf numFmtId="166" fontId="6" fillId="4" borderId="3" xfId="1" applyNumberFormat="1" applyFont="1" applyFill="1" applyBorder="1" applyAlignment="1" applyProtection="1">
      <alignment horizontal="left" vertical="center"/>
    </xf>
    <xf numFmtId="166" fontId="6" fillId="4" borderId="4" xfId="1" applyNumberFormat="1" applyFont="1" applyFill="1" applyBorder="1" applyAlignment="1" applyProtection="1">
      <alignment horizontal="left" vertical="center"/>
    </xf>
    <xf numFmtId="165" fontId="65" fillId="0" borderId="0" xfId="0" applyFont="1"/>
    <xf numFmtId="43" fontId="15" fillId="0" borderId="0" xfId="0" applyNumberFormat="1" applyFont="1"/>
    <xf numFmtId="166" fontId="6" fillId="4" borderId="0" xfId="1" applyNumberFormat="1" applyFont="1" applyFill="1" applyBorder="1" applyAlignment="1" applyProtection="1">
      <alignment horizontal="center" vertical="center" wrapText="1"/>
    </xf>
    <xf numFmtId="1" fontId="5" fillId="2" borderId="0" xfId="1" applyNumberFormat="1" applyFont="1" applyFill="1" applyBorder="1" applyAlignment="1" applyProtection="1">
      <alignment vertical="center"/>
    </xf>
    <xf numFmtId="1" fontId="5" fillId="4" borderId="0" xfId="1" applyNumberFormat="1" applyFont="1" applyFill="1" applyBorder="1" applyAlignment="1" applyProtection="1">
      <alignment horizontal="left" vertical="center"/>
    </xf>
    <xf numFmtId="1" fontId="6" fillId="4" borderId="4" xfId="1" applyNumberFormat="1" applyFont="1" applyFill="1" applyBorder="1" applyAlignment="1" applyProtection="1">
      <alignment horizontal="left" vertical="center"/>
    </xf>
    <xf numFmtId="1" fontId="5" fillId="4" borderId="0" xfId="1" applyNumberFormat="1" applyFont="1" applyFill="1" applyBorder="1" applyAlignment="1" applyProtection="1">
      <alignment vertical="center"/>
    </xf>
    <xf numFmtId="1" fontId="6" fillId="4" borderId="3" xfId="1" applyNumberFormat="1" applyFont="1" applyFill="1" applyBorder="1" applyAlignment="1" applyProtection="1">
      <alignment horizontal="left" vertical="center"/>
    </xf>
    <xf numFmtId="1" fontId="6" fillId="4" borderId="0" xfId="1" applyNumberFormat="1" applyFont="1" applyFill="1" applyBorder="1" applyAlignment="1" applyProtection="1">
      <alignment horizontal="left" vertical="center"/>
    </xf>
    <xf numFmtId="1" fontId="5" fillId="2" borderId="0" xfId="1" applyNumberFormat="1" applyFont="1" applyFill="1" applyBorder="1" applyAlignment="1" applyProtection="1">
      <alignment horizontal="left" vertical="center"/>
    </xf>
    <xf numFmtId="1" fontId="8" fillId="2" borderId="0" xfId="0" applyNumberFormat="1" applyFont="1" applyFill="1" applyAlignment="1">
      <alignment horizontal="left" vertical="center"/>
    </xf>
    <xf numFmtId="1" fontId="43" fillId="18" borderId="26" xfId="10" applyNumberFormat="1" applyFont="1" applyFill="1" applyBorder="1" applyAlignment="1">
      <alignment horizontal="right" wrapText="1"/>
    </xf>
    <xf numFmtId="171" fontId="2" fillId="12" borderId="26" xfId="9" applyNumberFormat="1" applyFont="1" applyFill="1" applyBorder="1"/>
    <xf numFmtId="172" fontId="8" fillId="0" borderId="0" xfId="3" applyNumberFormat="1" applyFont="1"/>
    <xf numFmtId="171" fontId="2" fillId="9" borderId="42" xfId="9" applyNumberFormat="1" applyFont="1" applyFill="1" applyBorder="1"/>
    <xf numFmtId="14" fontId="5" fillId="2" borderId="26" xfId="1" applyNumberFormat="1" applyFont="1" applyFill="1" applyBorder="1" applyAlignment="1" applyProtection="1">
      <alignment horizontal="left" vertical="center"/>
      <protection locked="0"/>
    </xf>
    <xf numFmtId="0" fontId="37" fillId="19" borderId="22" xfId="3" applyFont="1" applyFill="1" applyBorder="1" applyAlignment="1">
      <alignment horizontal="center" wrapText="1"/>
    </xf>
    <xf numFmtId="14" fontId="6" fillId="12" borderId="26" xfId="1" applyNumberFormat="1" applyFont="1" applyFill="1" applyBorder="1" applyAlignment="1" applyProtection="1">
      <alignment horizontal="left" wrapText="1"/>
      <protection locked="0"/>
    </xf>
    <xf numFmtId="0" fontId="37" fillId="0" borderId="21" xfId="3" applyFont="1" applyBorder="1" applyAlignment="1">
      <alignment horizontal="center" wrapText="1"/>
    </xf>
    <xf numFmtId="174" fontId="8" fillId="11" borderId="0" xfId="0" applyNumberFormat="1" applyFont="1" applyFill="1"/>
    <xf numFmtId="165" fontId="8" fillId="11" borderId="0" xfId="0" applyFont="1" applyFill="1"/>
    <xf numFmtId="14" fontId="0" fillId="0" borderId="0" xfId="0" applyNumberFormat="1" applyAlignment="1">
      <alignment vertical="top"/>
    </xf>
    <xf numFmtId="1" fontId="2" fillId="12" borderId="26" xfId="9" applyNumberFormat="1" applyFont="1" applyFill="1" applyBorder="1"/>
    <xf numFmtId="165" fontId="41" fillId="6" borderId="0" xfId="0" applyFont="1" applyFill="1" applyAlignment="1">
      <alignment vertical="center"/>
    </xf>
    <xf numFmtId="165" fontId="57" fillId="0" borderId="0" xfId="0" applyFont="1" applyAlignment="1">
      <alignment vertical="center"/>
    </xf>
    <xf numFmtId="165" fontId="55" fillId="6" borderId="0" xfId="2" applyFont="1" applyFill="1" applyAlignment="1">
      <alignment horizontal="left" indent="2"/>
    </xf>
    <xf numFmtId="165" fontId="26" fillId="0" borderId="0" xfId="2" applyFont="1" applyAlignment="1">
      <alignment horizontal="left" indent="1"/>
    </xf>
    <xf numFmtId="165" fontId="26" fillId="6" borderId="0" xfId="0" applyFont="1" applyFill="1" applyAlignment="1">
      <alignment horizontal="left" indent="1"/>
    </xf>
    <xf numFmtId="0" fontId="26" fillId="0" borderId="0" xfId="4" applyFont="1" applyProtection="1">
      <protection hidden="1"/>
    </xf>
    <xf numFmtId="14" fontId="5" fillId="25" borderId="26" xfId="1" applyNumberFormat="1" applyFont="1" applyFill="1" applyBorder="1" applyAlignment="1" applyProtection="1">
      <alignment horizontal="left" vertical="center"/>
      <protection locked="0"/>
    </xf>
    <xf numFmtId="164" fontId="2" fillId="25" borderId="26" xfId="3" applyNumberFormat="1" applyFill="1" applyBorder="1"/>
    <xf numFmtId="14" fontId="43" fillId="25" borderId="26" xfId="10" applyNumberFormat="1" applyFont="1" applyFill="1" applyBorder="1" applyAlignment="1" applyProtection="1">
      <alignment horizontal="right" wrapText="1"/>
      <protection locked="0"/>
    </xf>
    <xf numFmtId="1" fontId="43" fillId="9" borderId="26" xfId="10" applyNumberFormat="1" applyFont="1" applyFill="1" applyBorder="1" applyAlignment="1">
      <alignment horizontal="right" wrapText="1"/>
    </xf>
    <xf numFmtId="14" fontId="26" fillId="9" borderId="26" xfId="10" applyNumberFormat="1" applyFont="1" applyFill="1" applyBorder="1" applyAlignment="1" applyProtection="1">
      <alignment horizontal="center" vertical="center"/>
      <protection locked="0"/>
    </xf>
    <xf numFmtId="172" fontId="43" fillId="9" borderId="26" xfId="10" applyNumberFormat="1" applyFont="1" applyFill="1" applyBorder="1" applyAlignment="1">
      <alignment horizontal="right" wrapText="1"/>
    </xf>
    <xf numFmtId="14" fontId="43" fillId="9" borderId="26" xfId="10" applyNumberFormat="1" applyFont="1" applyFill="1" applyBorder="1" applyAlignment="1" applyProtection="1">
      <alignment horizontal="right" wrapText="1"/>
      <protection locked="0"/>
    </xf>
    <xf numFmtId="0" fontId="18" fillId="16" borderId="61" xfId="10" applyFont="1" applyFill="1" applyBorder="1" applyAlignment="1" applyProtection="1">
      <alignment wrapText="1"/>
      <protection locked="0"/>
    </xf>
    <xf numFmtId="0" fontId="18" fillId="16" borderId="61" xfId="10" applyFont="1" applyFill="1" applyBorder="1" applyProtection="1">
      <protection locked="0"/>
    </xf>
    <xf numFmtId="0" fontId="18" fillId="16" borderId="59" xfId="10" applyFont="1" applyFill="1" applyBorder="1" applyAlignment="1" applyProtection="1">
      <alignment wrapText="1"/>
      <protection locked="0"/>
    </xf>
    <xf numFmtId="0" fontId="18" fillId="16" borderId="10" xfId="10" applyFont="1" applyFill="1" applyBorder="1" applyAlignment="1" applyProtection="1">
      <alignment vertical="top" wrapText="1"/>
      <protection locked="0"/>
    </xf>
    <xf numFmtId="0" fontId="18" fillId="16" borderId="11" xfId="10" applyFont="1" applyFill="1" applyBorder="1" applyAlignment="1" applyProtection="1">
      <alignment wrapText="1"/>
      <protection locked="0"/>
    </xf>
    <xf numFmtId="0" fontId="2" fillId="16" borderId="0" xfId="10" applyFill="1" applyAlignment="1" applyProtection="1">
      <alignment vertical="top" wrapText="1"/>
      <protection locked="0"/>
    </xf>
    <xf numFmtId="0" fontId="2" fillId="16" borderId="55" xfId="10" applyFill="1" applyBorder="1" applyAlignment="1" applyProtection="1">
      <alignment vertical="top" wrapText="1"/>
      <protection locked="0"/>
    </xf>
    <xf numFmtId="9" fontId="2" fillId="16" borderId="0" xfId="6" applyFont="1" applyFill="1" applyAlignment="1" applyProtection="1">
      <alignment vertical="center" wrapText="1"/>
      <protection locked="0"/>
    </xf>
    <xf numFmtId="0" fontId="18" fillId="16" borderId="61" xfId="10" applyFont="1" applyFill="1" applyBorder="1" applyAlignment="1" applyProtection="1">
      <alignment vertical="center"/>
      <protection locked="0"/>
    </xf>
    <xf numFmtId="0" fontId="18" fillId="16" borderId="59" xfId="10" applyFont="1" applyFill="1" applyBorder="1" applyAlignment="1" applyProtection="1">
      <alignment vertical="top" wrapText="1"/>
      <protection locked="0"/>
    </xf>
    <xf numFmtId="0" fontId="18" fillId="16" borderId="60" xfId="10" applyFont="1" applyFill="1" applyBorder="1" applyAlignment="1" applyProtection="1">
      <alignment vertical="top" wrapText="1"/>
      <protection locked="0"/>
    </xf>
    <xf numFmtId="0" fontId="18" fillId="16" borderId="61" xfId="10" applyFont="1" applyFill="1" applyBorder="1" applyAlignment="1" applyProtection="1">
      <alignment horizontal="left"/>
      <protection locked="0"/>
    </xf>
    <xf numFmtId="0" fontId="18" fillId="16" borderId="59" xfId="10" applyFont="1" applyFill="1" applyBorder="1" applyAlignment="1" applyProtection="1">
      <alignment horizontal="left" wrapText="1"/>
      <protection locked="0"/>
    </xf>
    <xf numFmtId="9" fontId="18" fillId="16" borderId="59" xfId="10" applyNumberFormat="1" applyFont="1" applyFill="1" applyBorder="1" applyAlignment="1" applyProtection="1">
      <alignment horizontal="left" wrapText="1"/>
      <protection locked="0"/>
    </xf>
    <xf numFmtId="0" fontId="18" fillId="16" borderId="60" xfId="10" applyFont="1" applyFill="1" applyBorder="1" applyAlignment="1" applyProtection="1">
      <alignment horizontal="left" wrapText="1"/>
      <protection locked="0"/>
    </xf>
    <xf numFmtId="0" fontId="18" fillId="16" borderId="60" xfId="10" applyFont="1" applyFill="1" applyBorder="1" applyAlignment="1" applyProtection="1">
      <alignment wrapText="1"/>
      <protection locked="0"/>
    </xf>
    <xf numFmtId="165" fontId="68" fillId="0" borderId="0" xfId="0" applyFont="1" applyAlignment="1">
      <alignment vertical="top"/>
    </xf>
    <xf numFmtId="14" fontId="43" fillId="9" borderId="26" xfId="10" applyNumberFormat="1" applyFont="1" applyFill="1" applyBorder="1" applyAlignment="1">
      <alignment horizontal="right" wrapText="1"/>
    </xf>
    <xf numFmtId="0" fontId="26" fillId="6" borderId="0" xfId="4" applyFont="1" applyFill="1" applyAlignment="1" applyProtection="1">
      <alignment vertical="top"/>
      <protection hidden="1"/>
    </xf>
    <xf numFmtId="0" fontId="26" fillId="6" borderId="0" xfId="4" applyFont="1" applyFill="1" applyProtection="1">
      <protection hidden="1"/>
    </xf>
    <xf numFmtId="0" fontId="69" fillId="6" borderId="0" xfId="7" applyFont="1" applyFill="1" applyAlignment="1" applyProtection="1">
      <protection hidden="1"/>
    </xf>
    <xf numFmtId="0" fontId="52" fillId="0" borderId="0" xfId="4" applyFont="1" applyProtection="1">
      <protection hidden="1"/>
    </xf>
    <xf numFmtId="0" fontId="41" fillId="6" borderId="0" xfId="4" applyFont="1" applyFill="1" applyAlignment="1" applyProtection="1">
      <alignment vertical="top"/>
      <protection hidden="1"/>
    </xf>
    <xf numFmtId="165" fontId="56" fillId="0" borderId="0" xfId="0" applyFont="1" applyAlignment="1">
      <alignment horizontal="left" vertical="top" wrapText="1"/>
    </xf>
    <xf numFmtId="165" fontId="58" fillId="0" borderId="0" xfId="0" applyFont="1" applyAlignment="1">
      <alignment horizontal="left" vertical="top" wrapText="1"/>
    </xf>
    <xf numFmtId="165" fontId="7" fillId="4" borderId="7" xfId="0" applyFont="1" applyFill="1" applyBorder="1" applyAlignment="1" applyProtection="1">
      <alignment horizontal="left" vertical="center"/>
      <protection hidden="1"/>
    </xf>
    <xf numFmtId="165" fontId="7" fillId="4" borderId="4" xfId="0" applyFont="1" applyFill="1" applyBorder="1" applyAlignment="1" applyProtection="1">
      <alignment horizontal="left" vertical="center"/>
      <protection hidden="1"/>
    </xf>
    <xf numFmtId="165" fontId="26" fillId="6" borderId="0" xfId="0" applyFont="1" applyFill="1" applyAlignment="1">
      <alignment wrapText="1"/>
    </xf>
    <xf numFmtId="0" fontId="55" fillId="0" borderId="0" xfId="0" applyNumberFormat="1" applyFont="1" applyAlignment="1">
      <alignment vertical="center" wrapText="1"/>
    </xf>
    <xf numFmtId="167" fontId="6" fillId="26" borderId="0" xfId="1" applyNumberFormat="1" applyFont="1" applyFill="1" applyBorder="1" applyAlignment="1" applyProtection="1">
      <alignment vertical="center"/>
    </xf>
    <xf numFmtId="165" fontId="0" fillId="26" borderId="0" xfId="0" applyFill="1"/>
    <xf numFmtId="167" fontId="7" fillId="26" borderId="0" xfId="1" applyNumberFormat="1" applyFont="1" applyFill="1" applyBorder="1" applyAlignment="1" applyProtection="1">
      <alignment vertical="center"/>
    </xf>
    <xf numFmtId="167" fontId="8" fillId="26" borderId="0" xfId="1" applyNumberFormat="1" applyFont="1" applyFill="1" applyBorder="1" applyAlignment="1" applyProtection="1">
      <alignment vertical="center"/>
    </xf>
    <xf numFmtId="169" fontId="6" fillId="26" borderId="0" xfId="1" applyNumberFormat="1" applyFont="1" applyFill="1" applyBorder="1" applyAlignment="1" applyProtection="1">
      <alignment horizontal="center" vertical="center"/>
    </xf>
    <xf numFmtId="165" fontId="2" fillId="26" borderId="0" xfId="0" applyFont="1" applyFill="1"/>
    <xf numFmtId="169" fontId="7" fillId="26" borderId="0" xfId="1" applyNumberFormat="1" applyFont="1" applyFill="1" applyBorder="1" applyAlignment="1" applyProtection="1">
      <alignment vertical="center"/>
    </xf>
    <xf numFmtId="14" fontId="0" fillId="26" borderId="0" xfId="0" applyNumberFormat="1" applyFill="1"/>
    <xf numFmtId="165" fontId="26" fillId="0" borderId="0" xfId="0" applyFont="1" applyAlignment="1">
      <alignment vertical="top"/>
    </xf>
    <xf numFmtId="165" fontId="18" fillId="0" borderId="0" xfId="0" applyFont="1"/>
    <xf numFmtId="166" fontId="7" fillId="4" borderId="2" xfId="1" applyNumberFormat="1" applyFont="1" applyFill="1" applyBorder="1" applyAlignment="1" applyProtection="1">
      <alignment vertical="center"/>
    </xf>
    <xf numFmtId="166" fontId="7" fillId="4" borderId="3" xfId="1" applyNumberFormat="1" applyFont="1" applyFill="1" applyBorder="1" applyAlignment="1" applyProtection="1">
      <alignment horizontal="center" vertical="center"/>
    </xf>
    <xf numFmtId="166" fontId="5" fillId="4" borderId="10" xfId="1" applyNumberFormat="1" applyFont="1" applyFill="1" applyBorder="1" applyAlignment="1" applyProtection="1">
      <alignment vertical="center"/>
    </xf>
    <xf numFmtId="169" fontId="6" fillId="4" borderId="10" xfId="1" applyNumberFormat="1" applyFont="1" applyFill="1" applyBorder="1" applyAlignment="1" applyProtection="1">
      <alignment horizontal="center" vertical="center"/>
    </xf>
    <xf numFmtId="166" fontId="6" fillId="2" borderId="2" xfId="1" applyNumberFormat="1" applyFont="1" applyFill="1" applyBorder="1" applyAlignment="1" applyProtection="1">
      <alignment horizontal="center" vertical="center"/>
      <protection locked="0"/>
    </xf>
    <xf numFmtId="1" fontId="6" fillId="2" borderId="0" xfId="1" applyNumberFormat="1" applyFont="1" applyFill="1" applyBorder="1" applyAlignment="1" applyProtection="1">
      <alignment horizontal="center" vertical="center"/>
    </xf>
    <xf numFmtId="166" fontId="6" fillId="2" borderId="0" xfId="1" applyNumberFormat="1" applyFont="1" applyFill="1" applyBorder="1" applyAlignment="1" applyProtection="1">
      <alignment horizontal="center" vertical="center"/>
      <protection locked="0"/>
    </xf>
    <xf numFmtId="166" fontId="67" fillId="0" borderId="18" xfId="1" applyNumberFormat="1" applyFont="1" applyFill="1" applyBorder="1" applyAlignment="1" applyProtection="1">
      <alignment vertical="center"/>
    </xf>
    <xf numFmtId="1" fontId="5" fillId="26" borderId="67" xfId="1" applyNumberFormat="1" applyFont="1" applyFill="1" applyBorder="1" applyAlignment="1" applyProtection="1">
      <alignment horizontal="center" vertical="center"/>
    </xf>
    <xf numFmtId="169" fontId="5" fillId="26" borderId="67" xfId="1" applyNumberFormat="1" applyFont="1" applyFill="1" applyBorder="1" applyAlignment="1" applyProtection="1">
      <alignment horizontal="center" vertical="center"/>
    </xf>
    <xf numFmtId="1" fontId="5" fillId="26" borderId="0" xfId="1" applyNumberFormat="1" applyFont="1" applyFill="1" applyBorder="1" applyAlignment="1" applyProtection="1">
      <alignment horizontal="center" vertical="center"/>
    </xf>
    <xf numFmtId="169" fontId="7" fillId="24" borderId="0" xfId="11" applyNumberFormat="1" applyFont="1" applyFill="1"/>
    <xf numFmtId="166" fontId="67" fillId="0" borderId="19" xfId="1" applyNumberFormat="1" applyFont="1" applyFill="1" applyBorder="1" applyAlignment="1" applyProtection="1">
      <alignment vertical="top"/>
    </xf>
    <xf numFmtId="3" fontId="8" fillId="27" borderId="26" xfId="3" applyNumberFormat="1" applyFont="1" applyFill="1" applyBorder="1"/>
    <xf numFmtId="172" fontId="8" fillId="27" borderId="26" xfId="3" applyNumberFormat="1" applyFont="1" applyFill="1" applyBorder="1"/>
    <xf numFmtId="172" fontId="8" fillId="27" borderId="26" xfId="3" applyNumberFormat="1" applyFont="1" applyFill="1" applyBorder="1" applyProtection="1">
      <protection locked="0"/>
    </xf>
    <xf numFmtId="172" fontId="8" fillId="27" borderId="26" xfId="3" applyNumberFormat="1" applyFont="1" applyFill="1" applyBorder="1" applyAlignment="1" applyProtection="1">
      <alignment vertical="top" wrapText="1"/>
      <protection locked="0"/>
    </xf>
    <xf numFmtId="172" fontId="8" fillId="27" borderId="42" xfId="3" applyNumberFormat="1" applyFont="1" applyFill="1" applyBorder="1" applyAlignment="1" applyProtection="1">
      <alignment vertical="top" wrapText="1"/>
      <protection locked="0"/>
    </xf>
    <xf numFmtId="0" fontId="8" fillId="11" borderId="0" xfId="0" applyNumberFormat="1" applyFont="1" applyFill="1"/>
    <xf numFmtId="1" fontId="6" fillId="4" borderId="9" xfId="1" applyNumberFormat="1" applyFont="1" applyFill="1" applyBorder="1" applyAlignment="1" applyProtection="1">
      <alignment horizontal="left" vertical="center"/>
    </xf>
    <xf numFmtId="166" fontId="8" fillId="0" borderId="18" xfId="1" applyNumberFormat="1" applyFont="1" applyFill="1" applyBorder="1" applyAlignment="1" applyProtection="1">
      <alignment vertical="center"/>
    </xf>
    <xf numFmtId="166" fontId="8" fillId="0" borderId="19" xfId="1" applyNumberFormat="1" applyFont="1" applyFill="1" applyBorder="1" applyAlignment="1" applyProtection="1">
      <alignment vertical="center"/>
    </xf>
    <xf numFmtId="12" fontId="12" fillId="4" borderId="2" xfId="1" applyNumberFormat="1" applyFont="1" applyFill="1" applyBorder="1" applyAlignment="1" applyProtection="1">
      <alignment vertical="center"/>
    </xf>
    <xf numFmtId="0" fontId="26" fillId="0" borderId="0" xfId="4" applyFont="1" applyAlignment="1" applyProtection="1">
      <alignment horizontal="left" indent="2"/>
      <protection hidden="1"/>
    </xf>
    <xf numFmtId="165" fontId="71" fillId="0" borderId="0" xfId="0" applyFont="1"/>
    <xf numFmtId="177" fontId="5" fillId="2" borderId="6" xfId="1" applyNumberFormat="1" applyFont="1" applyFill="1" applyBorder="1" applyAlignment="1" applyProtection="1">
      <alignment horizontal="left" vertical="center"/>
      <protection locked="0"/>
    </xf>
    <xf numFmtId="0" fontId="37" fillId="0" borderId="0" xfId="3" applyFont="1" applyAlignment="1">
      <alignment horizontal="center" wrapText="1"/>
    </xf>
    <xf numFmtId="165" fontId="30" fillId="0" borderId="47" xfId="0" applyFont="1" applyBorder="1" applyAlignment="1">
      <alignment horizontal="center" vertical="center" wrapText="1"/>
    </xf>
    <xf numFmtId="165" fontId="30" fillId="0" borderId="44" xfId="0" applyFont="1" applyBorder="1" applyAlignment="1">
      <alignment horizontal="center" vertical="center" wrapText="1"/>
    </xf>
    <xf numFmtId="165" fontId="30" fillId="0" borderId="39" xfId="0" applyFont="1" applyBorder="1" applyAlignment="1">
      <alignment horizontal="center" vertical="center" wrapText="1"/>
    </xf>
    <xf numFmtId="165" fontId="30" fillId="0" borderId="40" xfId="0" applyFont="1" applyBorder="1" applyAlignment="1">
      <alignment horizontal="center" vertical="center" wrapText="1"/>
    </xf>
    <xf numFmtId="165" fontId="30" fillId="0" borderId="30" xfId="0" applyFont="1" applyBorder="1" applyAlignment="1">
      <alignment horizontal="center" vertical="center" wrapText="1"/>
    </xf>
    <xf numFmtId="165" fontId="20" fillId="0" borderId="41" xfId="0" applyFont="1" applyBorder="1" applyAlignment="1">
      <alignment horizontal="center"/>
    </xf>
    <xf numFmtId="165" fontId="20" fillId="0" borderId="33" xfId="0" applyFont="1" applyBorder="1" applyAlignment="1">
      <alignment horizontal="center"/>
    </xf>
    <xf numFmtId="165" fontId="17" fillId="16" borderId="45" xfId="0" applyFont="1" applyFill="1" applyBorder="1" applyAlignment="1">
      <alignment horizontal="left"/>
    </xf>
    <xf numFmtId="165" fontId="17" fillId="16" borderId="35" xfId="0" applyFont="1" applyFill="1" applyBorder="1" applyAlignment="1">
      <alignment horizontal="left"/>
    </xf>
    <xf numFmtId="165" fontId="17" fillId="16" borderId="36" xfId="0" applyFont="1" applyFill="1" applyBorder="1" applyAlignment="1">
      <alignment horizontal="left"/>
    </xf>
    <xf numFmtId="14" fontId="20" fillId="14" borderId="25" xfId="2" applyNumberFormat="1" applyFont="1" applyFill="1" applyBorder="1" applyAlignment="1">
      <alignment horizontal="left"/>
    </xf>
    <xf numFmtId="164" fontId="20" fillId="14" borderId="35" xfId="2" applyNumberFormat="1" applyFont="1" applyFill="1" applyBorder="1" applyAlignment="1">
      <alignment horizontal="left"/>
    </xf>
    <xf numFmtId="164" fontId="20" fillId="14" borderId="36" xfId="2" applyNumberFormat="1" applyFont="1" applyFill="1" applyBorder="1" applyAlignment="1">
      <alignment horizontal="left"/>
    </xf>
    <xf numFmtId="164" fontId="20" fillId="14" borderId="23" xfId="2" applyNumberFormat="1" applyFont="1" applyFill="1" applyBorder="1" applyAlignment="1">
      <alignment horizontal="left"/>
    </xf>
    <xf numFmtId="164" fontId="20" fillId="14" borderId="31" xfId="2" applyNumberFormat="1" applyFont="1" applyFill="1" applyBorder="1" applyAlignment="1">
      <alignment horizontal="left"/>
    </xf>
    <xf numFmtId="14" fontId="20" fillId="14" borderId="24" xfId="2" applyNumberFormat="1" applyFont="1" applyFill="1" applyBorder="1" applyAlignment="1">
      <alignment horizontal="left"/>
    </xf>
    <xf numFmtId="14" fontId="15" fillId="18" borderId="21" xfId="1" applyNumberFormat="1" applyFont="1" applyFill="1" applyBorder="1" applyAlignment="1" applyProtection="1">
      <alignment horizontal="center" vertical="center"/>
      <protection locked="0"/>
    </xf>
    <xf numFmtId="14" fontId="15" fillId="18" borderId="0" xfId="1" applyNumberFormat="1" applyFont="1" applyFill="1" applyBorder="1" applyAlignment="1" applyProtection="1">
      <alignment horizontal="center" vertical="center"/>
      <protection locked="0"/>
    </xf>
    <xf numFmtId="165" fontId="8" fillId="4" borderId="42" xfId="0" applyFont="1" applyFill="1" applyBorder="1" applyAlignment="1">
      <alignment horizontal="center" vertical="top" wrapText="1"/>
    </xf>
    <xf numFmtId="165" fontId="8" fillId="4" borderId="23" xfId="0" applyFont="1" applyFill="1" applyBorder="1" applyAlignment="1">
      <alignment horizontal="center" vertical="top" wrapText="1"/>
    </xf>
    <xf numFmtId="165" fontId="8" fillId="4" borderId="30" xfId="0" applyFont="1" applyFill="1" applyBorder="1" applyAlignment="1">
      <alignment horizontal="center" vertical="top" wrapText="1"/>
    </xf>
    <xf numFmtId="165" fontId="47" fillId="6" borderId="0" xfId="0" applyFont="1" applyFill="1" applyAlignment="1">
      <alignment vertical="center"/>
    </xf>
    <xf numFmtId="165" fontId="26" fillId="6" borderId="0" xfId="2" applyFont="1" applyFill="1" applyAlignment="1">
      <alignment horizontal="left" vertical="top" indent="2"/>
    </xf>
    <xf numFmtId="0" fontId="26" fillId="6" borderId="0" xfId="5" applyFont="1" applyFill="1" applyAlignment="1">
      <alignment horizontal="left" wrapText="1"/>
    </xf>
    <xf numFmtId="0" fontId="55" fillId="0" borderId="0" xfId="0" applyNumberFormat="1" applyFont="1" applyAlignment="1">
      <alignment vertical="center" wrapText="1"/>
    </xf>
    <xf numFmtId="0" fontId="55" fillId="0" borderId="0" xfId="0" applyNumberFormat="1" applyFont="1" applyAlignment="1">
      <alignment horizontal="center" vertical="center" wrapText="1"/>
    </xf>
    <xf numFmtId="0" fontId="26" fillId="6" borderId="0" xfId="4" applyFont="1" applyFill="1" applyAlignment="1" applyProtection="1">
      <alignment horizontal="left" vertical="top" wrapText="1"/>
      <protection hidden="1"/>
    </xf>
    <xf numFmtId="165" fontId="15" fillId="4" borderId="9" xfId="0" applyFont="1" applyFill="1" applyBorder="1" applyAlignment="1" applyProtection="1">
      <alignment horizontal="center" vertical="center"/>
      <protection hidden="1"/>
    </xf>
    <xf numFmtId="165" fontId="15" fillId="4" borderId="3" xfId="0" applyFont="1" applyFill="1" applyBorder="1" applyAlignment="1" applyProtection="1">
      <alignment horizontal="center" vertical="center"/>
      <protection hidden="1"/>
    </xf>
    <xf numFmtId="165" fontId="7" fillId="4" borderId="5" xfId="0" applyFont="1" applyFill="1" applyBorder="1" applyAlignment="1" applyProtection="1">
      <alignment horizontal="center" vertical="center"/>
      <protection hidden="1"/>
    </xf>
    <xf numFmtId="165" fontId="7" fillId="4" borderId="6" xfId="0" applyFont="1" applyFill="1" applyBorder="1" applyAlignment="1" applyProtection="1">
      <alignment horizontal="center" vertical="center"/>
      <protection hidden="1"/>
    </xf>
    <xf numFmtId="166" fontId="6" fillId="0" borderId="9" xfId="1" applyNumberFormat="1" applyFont="1" applyFill="1" applyBorder="1" applyAlignment="1" applyProtection="1">
      <alignment vertical="center"/>
      <protection hidden="1"/>
    </xf>
    <xf numFmtId="166" fontId="6" fillId="0" borderId="3" xfId="1" applyNumberFormat="1" applyFont="1" applyFill="1" applyBorder="1" applyAlignment="1" applyProtection="1">
      <alignment vertical="center"/>
      <protection hidden="1"/>
    </xf>
    <xf numFmtId="166" fontId="6" fillId="0" borderId="7" xfId="1" applyNumberFormat="1" applyFont="1" applyFill="1" applyBorder="1" applyAlignment="1" applyProtection="1">
      <alignment vertical="center"/>
      <protection hidden="1"/>
    </xf>
    <xf numFmtId="166" fontId="6" fillId="0" borderId="4" xfId="1" applyNumberFormat="1" applyFont="1" applyFill="1" applyBorder="1" applyAlignment="1" applyProtection="1">
      <alignment vertical="center"/>
      <protection hidden="1"/>
    </xf>
    <xf numFmtId="173" fontId="26" fillId="9" borderId="3" xfId="5" applyNumberFormat="1" applyFont="1" applyFill="1" applyBorder="1" applyAlignment="1" applyProtection="1">
      <alignment horizontal="left"/>
      <protection hidden="1"/>
    </xf>
    <xf numFmtId="173" fontId="26" fillId="9" borderId="5" xfId="5" applyNumberFormat="1" applyFont="1" applyFill="1" applyBorder="1" applyAlignment="1" applyProtection="1">
      <alignment horizontal="left"/>
      <protection hidden="1"/>
    </xf>
    <xf numFmtId="0" fontId="26" fillId="9" borderId="4" xfId="5" applyFont="1" applyFill="1" applyBorder="1" applyAlignment="1" applyProtection="1">
      <alignment horizontal="left"/>
      <protection locked="0"/>
    </xf>
    <xf numFmtId="0" fontId="26" fillId="9" borderId="13" xfId="5" applyFont="1" applyFill="1" applyBorder="1" applyAlignment="1" applyProtection="1">
      <alignment horizontal="left"/>
      <protection locked="0"/>
    </xf>
    <xf numFmtId="169" fontId="7" fillId="4" borderId="3" xfId="0" applyNumberFormat="1" applyFont="1" applyFill="1" applyBorder="1" applyAlignment="1" applyProtection="1">
      <alignment horizontal="center" vertical="center"/>
      <protection hidden="1"/>
    </xf>
    <xf numFmtId="169" fontId="7" fillId="4" borderId="4" xfId="0" applyNumberFormat="1" applyFont="1" applyFill="1" applyBorder="1" applyAlignment="1" applyProtection="1">
      <alignment horizontal="center" vertical="center"/>
      <protection hidden="1"/>
    </xf>
    <xf numFmtId="169" fontId="7" fillId="4" borderId="3" xfId="0" applyNumberFormat="1" applyFont="1" applyFill="1" applyBorder="1" applyAlignment="1" applyProtection="1">
      <alignment horizontal="center" vertical="center" wrapText="1"/>
      <protection hidden="1"/>
    </xf>
    <xf numFmtId="169" fontId="7" fillId="4" borderId="4" xfId="0" applyNumberFormat="1" applyFont="1" applyFill="1" applyBorder="1" applyAlignment="1" applyProtection="1">
      <alignment horizontal="center" vertical="center" wrapText="1"/>
      <protection hidden="1"/>
    </xf>
    <xf numFmtId="165" fontId="7" fillId="4" borderId="3" xfId="0" applyFont="1" applyFill="1" applyBorder="1" applyAlignment="1" applyProtection="1">
      <alignment horizontal="center" vertical="center" wrapText="1"/>
      <protection hidden="1"/>
    </xf>
    <xf numFmtId="165" fontId="7" fillId="4" borderId="0" xfId="0" applyFont="1" applyFill="1" applyAlignment="1" applyProtection="1">
      <alignment horizontal="center" vertical="center" wrapText="1"/>
      <protection hidden="1"/>
    </xf>
    <xf numFmtId="165" fontId="7" fillId="4" borderId="3" xfId="0" applyFont="1" applyFill="1" applyBorder="1" applyAlignment="1" applyProtection="1">
      <alignment horizontal="center" vertical="center"/>
      <protection hidden="1"/>
    </xf>
    <xf numFmtId="165" fontId="7" fillId="4" borderId="0" xfId="0" applyFont="1" applyFill="1" applyAlignment="1" applyProtection="1">
      <alignment horizontal="center" vertical="center"/>
      <protection hidden="1"/>
    </xf>
    <xf numFmtId="166" fontId="5" fillId="4" borderId="2" xfId="1" applyNumberFormat="1" applyFont="1" applyFill="1" applyBorder="1" applyAlignment="1" applyProtection="1">
      <alignment horizontal="left" vertical="center"/>
      <protection locked="0"/>
    </xf>
    <xf numFmtId="166" fontId="5" fillId="4" borderId="0" xfId="1" applyNumberFormat="1" applyFont="1" applyFill="1" applyBorder="1" applyAlignment="1" applyProtection="1">
      <alignment horizontal="left" vertical="center"/>
      <protection locked="0"/>
    </xf>
    <xf numFmtId="166" fontId="5" fillId="4" borderId="6" xfId="1" applyNumberFormat="1" applyFont="1" applyFill="1" applyBorder="1" applyAlignment="1" applyProtection="1">
      <alignment horizontal="left" vertical="center"/>
      <protection locked="0"/>
    </xf>
    <xf numFmtId="166" fontId="11" fillId="4" borderId="2" xfId="1" applyNumberFormat="1" applyFont="1" applyFill="1" applyBorder="1" applyAlignment="1" applyProtection="1">
      <alignment horizontal="left" vertical="center"/>
      <protection locked="0"/>
    </xf>
    <xf numFmtId="166" fontId="11" fillId="4" borderId="0" xfId="1" applyNumberFormat="1" applyFont="1" applyFill="1" applyBorder="1" applyAlignment="1" applyProtection="1">
      <alignment horizontal="left" vertical="center"/>
      <protection locked="0"/>
    </xf>
    <xf numFmtId="166" fontId="11" fillId="4" borderId="6" xfId="1" applyNumberFormat="1" applyFont="1" applyFill="1" applyBorder="1" applyAlignment="1" applyProtection="1">
      <alignment horizontal="left" vertical="center"/>
      <protection locked="0"/>
    </xf>
    <xf numFmtId="166" fontId="11" fillId="4" borderId="7" xfId="1" applyNumberFormat="1" applyFont="1" applyFill="1" applyBorder="1" applyAlignment="1" applyProtection="1">
      <alignment horizontal="left" vertical="center"/>
      <protection locked="0"/>
    </xf>
    <xf numFmtId="166" fontId="11" fillId="4" borderId="4" xfId="1" applyNumberFormat="1" applyFont="1" applyFill="1" applyBorder="1" applyAlignment="1" applyProtection="1">
      <alignment horizontal="left" vertical="center"/>
      <protection locked="0"/>
    </xf>
    <xf numFmtId="166" fontId="11" fillId="4" borderId="13" xfId="1" applyNumberFormat="1" applyFont="1" applyFill="1" applyBorder="1" applyAlignment="1" applyProtection="1">
      <alignment horizontal="left" vertical="center"/>
      <protection locked="0"/>
    </xf>
    <xf numFmtId="166" fontId="6" fillId="4" borderId="9" xfId="1" applyNumberFormat="1" applyFont="1" applyFill="1" applyBorder="1" applyAlignment="1" applyProtection="1">
      <alignment vertical="center"/>
    </xf>
    <xf numFmtId="166" fontId="6" fillId="4" borderId="3" xfId="1" applyNumberFormat="1" applyFont="1" applyFill="1" applyBorder="1" applyAlignment="1" applyProtection="1">
      <alignment vertical="center"/>
    </xf>
    <xf numFmtId="165" fontId="8" fillId="4" borderId="3" xfId="0" applyFont="1" applyFill="1" applyBorder="1" applyAlignment="1">
      <alignment vertical="center"/>
    </xf>
    <xf numFmtId="166" fontId="6" fillId="4" borderId="0" xfId="1" applyNumberFormat="1" applyFont="1" applyFill="1" applyBorder="1" applyAlignment="1" applyProtection="1">
      <alignment horizontal="center" vertical="center" wrapText="1"/>
    </xf>
    <xf numFmtId="165" fontId="8" fillId="2" borderId="0" xfId="0" applyFont="1" applyFill="1" applyAlignment="1" applyProtection="1">
      <alignment vertical="center"/>
      <protection locked="0"/>
    </xf>
    <xf numFmtId="166" fontId="6" fillId="4" borderId="0" xfId="1" applyNumberFormat="1" applyFont="1" applyFill="1" applyBorder="1" applyAlignment="1" applyProtection="1">
      <alignment horizontal="center" vertical="center"/>
    </xf>
    <xf numFmtId="165" fontId="8" fillId="0" borderId="0" xfId="0" applyFont="1" applyAlignment="1" applyProtection="1">
      <alignment vertical="center"/>
      <protection locked="0"/>
    </xf>
    <xf numFmtId="166" fontId="5" fillId="2" borderId="0" xfId="1" applyNumberFormat="1" applyFont="1" applyFill="1" applyBorder="1" applyAlignment="1" applyProtection="1">
      <alignment vertical="center"/>
      <protection locked="0"/>
    </xf>
    <xf numFmtId="166" fontId="5" fillId="2" borderId="0" xfId="1" applyNumberFormat="1" applyFont="1" applyFill="1" applyBorder="1" applyAlignment="1" applyProtection="1">
      <alignment horizontal="left" vertical="center"/>
      <protection locked="0"/>
    </xf>
    <xf numFmtId="165" fontId="8" fillId="0" borderId="0" xfId="0" applyFont="1" applyAlignment="1" applyProtection="1">
      <alignment horizontal="left" vertical="center"/>
      <protection locked="0"/>
    </xf>
    <xf numFmtId="165" fontId="8" fillId="2" borderId="0" xfId="0" applyFont="1" applyFill="1" applyAlignment="1" applyProtection="1">
      <alignment horizontal="left" vertical="center"/>
      <protection locked="0"/>
    </xf>
    <xf numFmtId="165" fontId="8" fillId="2" borderId="2" xfId="0" applyFont="1" applyFill="1" applyBorder="1" applyAlignment="1" applyProtection="1">
      <alignment vertical="center"/>
      <protection locked="0"/>
    </xf>
    <xf numFmtId="166" fontId="5" fillId="2" borderId="2" xfId="1" applyNumberFormat="1" applyFont="1" applyFill="1" applyBorder="1" applyAlignment="1" applyProtection="1">
      <alignment vertical="center"/>
      <protection locked="0"/>
    </xf>
    <xf numFmtId="171" fontId="2" fillId="20" borderId="42" xfId="9" applyNumberFormat="1" applyFont="1" applyFill="1" applyBorder="1" applyAlignment="1">
      <alignment horizontal="center"/>
    </xf>
    <xf numFmtId="171" fontId="2" fillId="20" borderId="30" xfId="9" applyNumberFormat="1" applyFont="1" applyFill="1" applyBorder="1" applyAlignment="1">
      <alignment horizontal="center"/>
    </xf>
    <xf numFmtId="165" fontId="0" fillId="0" borderId="21" xfId="0" applyBorder="1" applyAlignment="1">
      <alignment horizontal="left" vertical="top"/>
    </xf>
    <xf numFmtId="165" fontId="0" fillId="0" borderId="0" xfId="0" applyAlignment="1">
      <alignment horizontal="left" vertical="top"/>
    </xf>
    <xf numFmtId="165" fontId="0" fillId="0" borderId="28" xfId="0" applyBorder="1" applyAlignment="1">
      <alignment horizontal="left" vertical="top"/>
    </xf>
    <xf numFmtId="165" fontId="0" fillId="0" borderId="20" xfId="0" applyBorder="1" applyAlignment="1">
      <alignment horizontal="left" vertical="top"/>
    </xf>
    <xf numFmtId="165" fontId="0" fillId="0" borderId="25" xfId="0" applyBorder="1" applyAlignment="1">
      <alignment horizontal="left" vertical="top"/>
    </xf>
    <xf numFmtId="165" fontId="0" fillId="0" borderId="29" xfId="0" applyBorder="1" applyAlignment="1">
      <alignment horizontal="left" vertical="top"/>
    </xf>
    <xf numFmtId="165" fontId="7" fillId="11" borderId="0" xfId="0" applyFont="1" applyFill="1" applyAlignment="1">
      <alignment horizontal="left" wrapText="1"/>
    </xf>
    <xf numFmtId="165" fontId="15" fillId="0" borderId="0" xfId="0" applyFont="1" applyAlignment="1">
      <alignment horizontal="center"/>
    </xf>
    <xf numFmtId="0" fontId="37" fillId="19" borderId="42" xfId="3" applyFont="1" applyFill="1" applyBorder="1" applyAlignment="1">
      <alignment horizontal="left" wrapText="1"/>
    </xf>
    <xf numFmtId="0" fontId="37" fillId="19" borderId="30" xfId="3" applyFont="1" applyFill="1" applyBorder="1" applyAlignment="1">
      <alignment horizontal="left" wrapText="1"/>
    </xf>
    <xf numFmtId="0" fontId="2" fillId="16" borderId="54" xfId="10" applyFill="1" applyBorder="1" applyAlignment="1" applyProtection="1">
      <alignment horizontal="left" vertical="top" wrapText="1"/>
      <protection locked="0"/>
    </xf>
    <xf numFmtId="0" fontId="2" fillId="16" borderId="0" xfId="10" applyFill="1" applyAlignment="1" applyProtection="1">
      <alignment horizontal="left" vertical="top" wrapText="1"/>
      <protection locked="0"/>
    </xf>
    <xf numFmtId="0" fontId="2" fillId="16" borderId="55" xfId="10" applyFill="1" applyBorder="1" applyAlignment="1" applyProtection="1">
      <alignment horizontal="left" vertical="top" wrapText="1"/>
      <protection locked="0"/>
    </xf>
    <xf numFmtId="0" fontId="2" fillId="16" borderId="56" xfId="10" applyFill="1" applyBorder="1" applyAlignment="1" applyProtection="1">
      <alignment horizontal="left" vertical="top" wrapText="1"/>
      <protection locked="0"/>
    </xf>
    <xf numFmtId="0" fontId="2" fillId="16" borderId="57" xfId="10" applyFill="1" applyBorder="1" applyAlignment="1" applyProtection="1">
      <alignment horizontal="left" vertical="top" wrapText="1"/>
      <protection locked="0"/>
    </xf>
    <xf numFmtId="0" fontId="2" fillId="16" borderId="58" xfId="10" applyFill="1" applyBorder="1" applyAlignment="1" applyProtection="1">
      <alignment horizontal="left" vertical="top" wrapText="1"/>
      <protection locked="0"/>
    </xf>
    <xf numFmtId="0" fontId="18" fillId="16" borderId="61" xfId="10" applyFont="1" applyFill="1" applyBorder="1" applyAlignment="1" applyProtection="1">
      <alignment horizontal="left" wrapText="1"/>
      <protection locked="0"/>
    </xf>
    <xf numFmtId="0" fontId="18" fillId="16" borderId="59" xfId="10" applyFont="1" applyFill="1" applyBorder="1" applyAlignment="1" applyProtection="1">
      <alignment horizontal="left" wrapText="1"/>
      <protection locked="0"/>
    </xf>
    <xf numFmtId="0" fontId="2" fillId="16" borderId="54" xfId="10" applyFill="1" applyBorder="1" applyAlignment="1" applyProtection="1">
      <alignment horizontal="left" vertical="center" wrapText="1"/>
      <protection locked="0"/>
    </xf>
    <xf numFmtId="0" fontId="2" fillId="16" borderId="0" xfId="10" applyFill="1" applyAlignment="1" applyProtection="1">
      <alignment horizontal="left" vertical="center" wrapText="1"/>
      <protection locked="0"/>
    </xf>
    <xf numFmtId="0" fontId="2" fillId="16" borderId="62" xfId="10" applyFill="1" applyBorder="1" applyAlignment="1" applyProtection="1">
      <alignment horizontal="left" vertical="center" wrapText="1"/>
      <protection locked="0"/>
    </xf>
    <xf numFmtId="0" fontId="2" fillId="16" borderId="63" xfId="10" applyFill="1" applyBorder="1" applyAlignment="1" applyProtection="1">
      <alignment horizontal="left" vertical="center" wrapText="1"/>
      <protection locked="0"/>
    </xf>
    <xf numFmtId="0" fontId="2" fillId="16" borderId="68" xfId="10" applyFill="1" applyBorder="1" applyAlignment="1" applyProtection="1">
      <alignment horizontal="left" vertical="center" wrapText="1"/>
      <protection locked="0"/>
    </xf>
    <xf numFmtId="0" fontId="44" fillId="17" borderId="22" xfId="10" applyFont="1" applyFill="1" applyBorder="1" applyAlignment="1">
      <alignment horizontal="left" wrapText="1"/>
    </xf>
    <xf numFmtId="0" fontId="44" fillId="17" borderId="24" xfId="10" applyFont="1" applyFill="1" applyBorder="1" applyAlignment="1">
      <alignment horizontal="left" wrapText="1"/>
    </xf>
    <xf numFmtId="0" fontId="44" fillId="17" borderId="27" xfId="10" applyFont="1" applyFill="1" applyBorder="1" applyAlignment="1">
      <alignment horizontal="left" wrapText="1"/>
    </xf>
    <xf numFmtId="0" fontId="45" fillId="0" borderId="0" xfId="10" applyFont="1" applyAlignment="1">
      <alignment horizontal="left" wrapText="1"/>
    </xf>
    <xf numFmtId="9" fontId="18" fillId="16" borderId="10" xfId="10" applyNumberFormat="1" applyFont="1" applyFill="1" applyBorder="1" applyAlignment="1" applyProtection="1">
      <alignment horizontal="left" wrapText="1"/>
      <protection locked="0"/>
    </xf>
    <xf numFmtId="0" fontId="18" fillId="16" borderId="10" xfId="10" applyFont="1" applyFill="1" applyBorder="1" applyAlignment="1" applyProtection="1">
      <alignment horizontal="left" wrapText="1"/>
      <protection locked="0"/>
    </xf>
    <xf numFmtId="0" fontId="2" fillId="16" borderId="55" xfId="10" applyFill="1" applyBorder="1" applyAlignment="1" applyProtection="1">
      <alignment horizontal="left" vertical="center" wrapText="1"/>
      <protection locked="0"/>
    </xf>
    <xf numFmtId="9" fontId="18" fillId="16" borderId="59" xfId="10" applyNumberFormat="1" applyFont="1" applyFill="1" applyBorder="1" applyAlignment="1" applyProtection="1">
      <alignment horizontal="left" wrapText="1"/>
      <protection locked="0"/>
    </xf>
    <xf numFmtId="0" fontId="20" fillId="13" borderId="23" xfId="0" applyNumberFormat="1" applyFont="1" applyFill="1" applyBorder="1" applyAlignment="1"/>
    <xf numFmtId="0" fontId="20" fillId="13" borderId="31" xfId="0" applyNumberFormat="1" applyFont="1" applyFill="1" applyBorder="1" applyAlignment="1"/>
    <xf numFmtId="0" fontId="20" fillId="0" borderId="23" xfId="0" applyNumberFormat="1" applyFont="1" applyBorder="1" applyAlignment="1"/>
    <xf numFmtId="0" fontId="20" fillId="0" borderId="31" xfId="0" applyNumberFormat="1" applyFont="1" applyBorder="1" applyAlignment="1"/>
    <xf numFmtId="0" fontId="21" fillId="13" borderId="23" xfId="0" applyNumberFormat="1" applyFont="1" applyFill="1" applyBorder="1" applyAlignment="1"/>
    <xf numFmtId="0" fontId="21" fillId="13" borderId="31" xfId="0" applyNumberFormat="1" applyFont="1" applyFill="1" applyBorder="1" applyAlignment="1"/>
    <xf numFmtId="165" fontId="20" fillId="0" borderId="23" xfId="0" applyFont="1" applyBorder="1" applyAlignment="1"/>
    <xf numFmtId="165" fontId="20" fillId="0" borderId="31" xfId="0" applyFont="1" applyBorder="1" applyAlignment="1"/>
    <xf numFmtId="165" fontId="21" fillId="0" borderId="44" xfId="0" applyFont="1" applyBorder="1" applyAlignment="1"/>
    <xf numFmtId="165" fontId="21" fillId="0" borderId="39" xfId="0" applyFont="1" applyBorder="1" applyAlignment="1"/>
    <xf numFmtId="165" fontId="48" fillId="6" borderId="0" xfId="2" applyFont="1" applyFill="1" applyAlignment="1"/>
    <xf numFmtId="165" fontId="48" fillId="0" borderId="0" xfId="0" applyFont="1" applyAlignment="1"/>
  </cellXfs>
  <cellStyles count="12">
    <cellStyle name="Hyperlink 2" xfId="7" xr:uid="{4E4606DC-38A9-4491-9120-35CE79727E5E}"/>
    <cellStyle name="Komma" xfId="1" builtinId="3"/>
    <cellStyle name="Komma_Blad1" xfId="9" xr:uid="{C482E095-2FF5-4ADA-9239-E0373E20018B}"/>
    <cellStyle name="Procent" xfId="6" builtinId="5"/>
    <cellStyle name="Standaard" xfId="0" builtinId="0"/>
    <cellStyle name="Standaard 2" xfId="2" xr:uid="{00000000-0005-0000-0000-000002000000}"/>
    <cellStyle name="Standaard 2 2" xfId="8" xr:uid="{EDD2C603-CF71-4F08-BDEE-D6C21BC01406}"/>
    <cellStyle name="Standaard 4" xfId="3" xr:uid="{00000000-0005-0000-0000-000003000000}"/>
    <cellStyle name="Standaard 5" xfId="4" xr:uid="{075DAF28-36D4-4F36-A1B9-06C5717D5197}"/>
    <cellStyle name="Standaard 6" xfId="10" xr:uid="{DA753614-8BB2-44FC-A442-4620EC13F760}"/>
    <cellStyle name="Standaard_TEMPLATE FEM BEGROTING DEMO" xfId="5" xr:uid="{75A0FE36-3E21-4789-8620-3BEEC27B534C}"/>
    <cellStyle name="Valuta" xfId="11" builtinId="4"/>
  </cellStyles>
  <dxfs count="51">
    <dxf>
      <font>
        <color rgb="FF9C0006"/>
      </font>
    </dxf>
    <dxf>
      <font>
        <condense val="0"/>
        <extend val="0"/>
        <color indexed="8"/>
      </font>
    </dxf>
    <dxf>
      <fill>
        <patternFill>
          <bgColor indexed="13"/>
        </patternFill>
      </fill>
    </dxf>
    <dxf>
      <fill>
        <patternFill>
          <bgColor indexed="13"/>
        </patternFill>
      </fill>
    </dxf>
    <dxf>
      <font>
        <color rgb="FFFF0000"/>
      </font>
      <fill>
        <patternFill>
          <bgColor indexed="13"/>
        </patternFill>
      </fill>
    </dxf>
    <dxf>
      <font>
        <color rgb="FF9C0006"/>
      </font>
    </dxf>
    <dxf>
      <font>
        <condense val="0"/>
        <extend val="0"/>
        <color indexed="8"/>
      </font>
    </dxf>
    <dxf>
      <fill>
        <patternFill>
          <bgColor indexed="13"/>
        </patternFill>
      </fill>
    </dxf>
    <dxf>
      <fill>
        <patternFill>
          <bgColor indexed="13"/>
        </patternFill>
      </fill>
    </dxf>
    <dxf>
      <font>
        <color rgb="FFFF0000"/>
      </font>
      <fill>
        <patternFill>
          <bgColor indexed="13"/>
        </patternFill>
      </fill>
    </dxf>
    <dxf>
      <font>
        <color rgb="FF9C0006"/>
      </font>
    </dxf>
    <dxf>
      <font>
        <condense val="0"/>
        <extend val="0"/>
        <color indexed="8"/>
      </font>
    </dxf>
    <dxf>
      <fill>
        <patternFill>
          <bgColor indexed="13"/>
        </patternFill>
      </fill>
    </dxf>
    <dxf>
      <fill>
        <patternFill>
          <bgColor indexed="13"/>
        </patternFill>
      </fill>
    </dxf>
    <dxf>
      <font>
        <color rgb="FFFF0000"/>
      </font>
      <fill>
        <patternFill>
          <bgColor indexed="13"/>
        </patternFill>
      </fill>
    </dxf>
    <dxf>
      <font>
        <color rgb="FF9C0006"/>
      </font>
    </dxf>
    <dxf>
      <font>
        <condense val="0"/>
        <extend val="0"/>
        <color indexed="8"/>
      </font>
    </dxf>
    <dxf>
      <fill>
        <patternFill>
          <bgColor indexed="13"/>
        </patternFill>
      </fill>
    </dxf>
    <dxf>
      <fill>
        <patternFill>
          <bgColor indexed="13"/>
        </patternFill>
      </fill>
    </dxf>
    <dxf>
      <font>
        <color rgb="FFFF0000"/>
      </font>
      <fill>
        <patternFill>
          <bgColor indexed="13"/>
        </patternFill>
      </fill>
    </dxf>
    <dxf>
      <font>
        <color rgb="FF9C0006"/>
      </font>
    </dxf>
    <dxf>
      <font>
        <condense val="0"/>
        <extend val="0"/>
        <color indexed="8"/>
      </font>
    </dxf>
    <dxf>
      <fill>
        <patternFill>
          <bgColor indexed="13"/>
        </patternFill>
      </fill>
    </dxf>
    <dxf>
      <fill>
        <patternFill>
          <bgColor indexed="13"/>
        </patternFill>
      </fill>
    </dxf>
    <dxf>
      <font>
        <color rgb="FFFF0000"/>
      </font>
      <fill>
        <patternFill>
          <bgColor indexed="13"/>
        </patternFill>
      </fill>
    </dxf>
    <dxf>
      <font>
        <color rgb="FF9C0006"/>
      </font>
    </dxf>
    <dxf>
      <font>
        <condense val="0"/>
        <extend val="0"/>
        <color indexed="8"/>
      </font>
    </dxf>
    <dxf>
      <fill>
        <patternFill>
          <bgColor indexed="13"/>
        </patternFill>
      </fill>
    </dxf>
    <dxf>
      <fill>
        <patternFill>
          <bgColor indexed="13"/>
        </patternFill>
      </fill>
    </dxf>
    <dxf>
      <font>
        <color rgb="FFFF0000"/>
      </font>
      <fill>
        <patternFill>
          <bgColor indexed="13"/>
        </patternFill>
      </fill>
    </dxf>
    <dxf>
      <font>
        <color rgb="FF9C0006"/>
      </font>
    </dxf>
    <dxf>
      <font>
        <condense val="0"/>
        <extend val="0"/>
        <color indexed="8"/>
      </font>
    </dxf>
    <dxf>
      <fill>
        <patternFill>
          <bgColor indexed="13"/>
        </patternFill>
      </fill>
    </dxf>
    <dxf>
      <fill>
        <patternFill>
          <bgColor indexed="13"/>
        </patternFill>
      </fill>
    </dxf>
    <dxf>
      <font>
        <color rgb="FFFF0000"/>
      </font>
      <fill>
        <patternFill>
          <bgColor indexed="13"/>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7BC7"/>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26" Type="http://schemas.openxmlformats.org/officeDocument/2006/relationships/customXml" Target="../customXml/item2.xml"/><Relationship Id="rId3" Type="http://schemas.openxmlformats.org/officeDocument/2006/relationships/worksheet" Target="worksheets/sheet3.xml"/><Relationship Id="rId21" Type="http://schemas.microsoft.com/office/2017/06/relationships/rdRichValue" Target="richData/rdrichvalue.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06/relationships/rdRichValueTypes" Target="richData/rdRichValueTypes.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06/relationships/rdRichValueStructure" Target="richData/rdrichvaluestructure.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xdr:colOff>
      <xdr:row>0</xdr:row>
      <xdr:rowOff>0</xdr:rowOff>
    </xdr:from>
    <xdr:to>
      <xdr:col>10</xdr:col>
      <xdr:colOff>18002</xdr:colOff>
      <xdr:row>53</xdr:row>
      <xdr:rowOff>142876</xdr:rowOff>
    </xdr:to>
    <xdr:sp macro="" textlink="">
      <xdr:nvSpPr>
        <xdr:cNvPr id="2" name="Text Box 2">
          <a:extLst>
            <a:ext uri="{FF2B5EF4-FFF2-40B4-BE49-F238E27FC236}">
              <a16:creationId xmlns:a16="http://schemas.microsoft.com/office/drawing/2014/main" id="{00000000-0008-0000-0000-000002000000}"/>
            </a:ext>
          </a:extLst>
        </xdr:cNvPr>
        <xdr:cNvSpPr txBox="1">
          <a:spLocks noChangeArrowheads="1"/>
        </xdr:cNvSpPr>
      </xdr:nvSpPr>
      <xdr:spPr bwMode="auto">
        <a:xfrm>
          <a:off x="2" y="0"/>
          <a:ext cx="6876000" cy="8724901"/>
        </a:xfrm>
        <a:prstGeom prst="rect">
          <a:avLst/>
        </a:prstGeom>
        <a:solidFill>
          <a:srgbClr val="FFFFFF"/>
        </a:solidFill>
        <a:ln w="9525">
          <a:noFill/>
          <a:miter lim="800000"/>
          <a:headEnd/>
          <a:tailEnd/>
        </a:ln>
      </xdr:spPr>
      <xdr:txBody>
        <a:bodyPr vertOverflow="clip" wrap="square" lIns="36000" tIns="72000" rIns="36000" bIns="0" anchor="t" upright="1"/>
        <a:lstStyle/>
        <a:p>
          <a:pPr marL="0" marR="0" indent="0" algn="ctr" defTabSz="914400" eaLnBrk="1" fontAlgn="auto" latinLnBrk="0" hangingPunct="1">
            <a:lnSpc>
              <a:spcPct val="100000"/>
            </a:lnSpc>
            <a:spcBef>
              <a:spcPts val="0"/>
            </a:spcBef>
            <a:spcAft>
              <a:spcPts val="0"/>
            </a:spcAft>
            <a:buClrTx/>
            <a:buSzTx/>
            <a:buFontTx/>
            <a:buNone/>
            <a:tabLst/>
            <a:defRPr/>
          </a:pPr>
          <a:endParaRPr lang="nl-NL" sz="1200" b="1">
            <a:solidFill>
              <a:srgbClr val="FF0000"/>
            </a:solidFill>
            <a:effectLst/>
            <a:latin typeface="Arial" panose="020B0604020202020204" pitchFamily="34" charset="0"/>
            <a:ea typeface="+mn-ea"/>
            <a:cs typeface="Arial" panose="020B0604020202020204" pitchFamily="34" charset="0"/>
          </a:endParaRPr>
        </a:p>
        <a:p>
          <a:pPr marL="0" marR="0" indent="0" algn="ctr" defTabSz="914400" eaLnBrk="1" fontAlgn="auto" latinLnBrk="0" hangingPunct="1">
            <a:lnSpc>
              <a:spcPct val="100000"/>
            </a:lnSpc>
            <a:spcBef>
              <a:spcPts val="0"/>
            </a:spcBef>
            <a:spcAft>
              <a:spcPts val="0"/>
            </a:spcAft>
            <a:buClrTx/>
            <a:buSzTx/>
            <a:buFontTx/>
            <a:buNone/>
            <a:tabLst/>
            <a:defRPr/>
          </a:pPr>
          <a:endParaRPr lang="nl-NL" sz="1200" b="1">
            <a:solidFill>
              <a:srgbClr val="FF0000"/>
            </a:solidFill>
            <a:effectLst/>
            <a:latin typeface="Arial" panose="020B0604020202020204" pitchFamily="34" charset="0"/>
            <a:ea typeface="+mn-ea"/>
            <a:cs typeface="Arial" panose="020B0604020202020204" pitchFamily="34" charset="0"/>
          </a:endParaRPr>
        </a:p>
        <a:p>
          <a:pPr marL="0" marR="0" indent="0" algn="ctr" defTabSz="914400" eaLnBrk="1" fontAlgn="auto" latinLnBrk="0" hangingPunct="1">
            <a:lnSpc>
              <a:spcPct val="100000"/>
            </a:lnSpc>
            <a:spcBef>
              <a:spcPts val="0"/>
            </a:spcBef>
            <a:spcAft>
              <a:spcPts val="0"/>
            </a:spcAft>
            <a:buClrTx/>
            <a:buSzTx/>
            <a:buFontTx/>
            <a:buNone/>
            <a:tabLst/>
            <a:defRPr/>
          </a:pPr>
          <a:endParaRPr lang="nl-NL" sz="1200" b="1">
            <a:solidFill>
              <a:srgbClr val="FF0000"/>
            </a:solidFill>
            <a:effectLst/>
            <a:latin typeface="Arial" panose="020B0604020202020204" pitchFamily="34" charset="0"/>
            <a:ea typeface="+mn-ea"/>
            <a:cs typeface="Arial" panose="020B0604020202020204" pitchFamily="34" charset="0"/>
          </a:endParaRPr>
        </a:p>
        <a:p>
          <a:pPr marL="0" marR="0" indent="0" algn="ctr" defTabSz="914400" eaLnBrk="1" fontAlgn="auto" latinLnBrk="0" hangingPunct="1">
            <a:lnSpc>
              <a:spcPct val="100000"/>
            </a:lnSpc>
            <a:spcBef>
              <a:spcPts val="0"/>
            </a:spcBef>
            <a:spcAft>
              <a:spcPts val="0"/>
            </a:spcAft>
            <a:buClrTx/>
            <a:buSzTx/>
            <a:buFontTx/>
            <a:buNone/>
            <a:tabLst/>
            <a:defRPr/>
          </a:pPr>
          <a:endParaRPr lang="nl-NL" sz="1200" b="1">
            <a:solidFill>
              <a:srgbClr val="FF0000"/>
            </a:solidFill>
            <a:effectLst/>
            <a:latin typeface="Arial" panose="020B0604020202020204" pitchFamily="34" charset="0"/>
            <a:ea typeface="+mn-ea"/>
            <a:cs typeface="Arial" panose="020B0604020202020204" pitchFamily="34" charset="0"/>
          </a:endParaRPr>
        </a:p>
        <a:p>
          <a:pPr marL="0" marR="0" indent="0" algn="ctr" defTabSz="914400" eaLnBrk="1" fontAlgn="auto" latinLnBrk="0" hangingPunct="1">
            <a:lnSpc>
              <a:spcPct val="100000"/>
            </a:lnSpc>
            <a:spcBef>
              <a:spcPts val="0"/>
            </a:spcBef>
            <a:spcAft>
              <a:spcPts val="0"/>
            </a:spcAft>
            <a:buClrTx/>
            <a:buSzTx/>
            <a:buFontTx/>
            <a:buNone/>
            <a:tabLst/>
            <a:defRPr/>
          </a:pPr>
          <a:endParaRPr lang="nl-NL" sz="1200" b="1">
            <a:solidFill>
              <a:srgbClr val="FF0000"/>
            </a:solidFill>
            <a:effectLst/>
            <a:latin typeface="Arial" panose="020B0604020202020204" pitchFamily="34" charset="0"/>
            <a:ea typeface="+mn-ea"/>
            <a:cs typeface="Arial" panose="020B0604020202020204" pitchFamily="34" charset="0"/>
          </a:endParaRPr>
        </a:p>
        <a:p>
          <a:pPr marL="0" marR="0" indent="0" algn="ctr" defTabSz="914400" eaLnBrk="1" fontAlgn="auto" latinLnBrk="0" hangingPunct="1">
            <a:lnSpc>
              <a:spcPct val="100000"/>
            </a:lnSpc>
            <a:spcBef>
              <a:spcPts val="0"/>
            </a:spcBef>
            <a:spcAft>
              <a:spcPts val="0"/>
            </a:spcAft>
            <a:buClrTx/>
            <a:buSzTx/>
            <a:buFontTx/>
            <a:buNone/>
            <a:tabLst/>
            <a:defRPr/>
          </a:pPr>
          <a:endParaRPr lang="nl-NL" sz="1200" b="1">
            <a:solidFill>
              <a:srgbClr val="FF0000"/>
            </a:solidFill>
            <a:effectLst/>
            <a:latin typeface="Arial" panose="020B0604020202020204" pitchFamily="34" charset="0"/>
            <a:ea typeface="+mn-ea"/>
            <a:cs typeface="Arial" panose="020B0604020202020204" pitchFamily="34" charset="0"/>
          </a:endParaRPr>
        </a:p>
        <a:p>
          <a:pPr marL="0" marR="0" indent="0" algn="ctr" defTabSz="914400" eaLnBrk="1" fontAlgn="auto" latinLnBrk="0" hangingPunct="1">
            <a:lnSpc>
              <a:spcPct val="100000"/>
            </a:lnSpc>
            <a:spcBef>
              <a:spcPts val="0"/>
            </a:spcBef>
            <a:spcAft>
              <a:spcPts val="0"/>
            </a:spcAft>
            <a:buClrTx/>
            <a:buSzTx/>
            <a:buFontTx/>
            <a:buNone/>
            <a:tabLst/>
            <a:defRPr/>
          </a:pPr>
          <a:endParaRPr lang="nl-NL" sz="1200" b="1">
            <a:solidFill>
              <a:srgbClr val="FF0000"/>
            </a:solidFill>
            <a:effectLst/>
            <a:latin typeface="Arial" panose="020B0604020202020204" pitchFamily="34" charset="0"/>
            <a:ea typeface="+mn-ea"/>
            <a:cs typeface="Arial" panose="020B0604020202020204" pitchFamily="34" charset="0"/>
          </a:endParaRPr>
        </a:p>
        <a:p>
          <a:pPr marL="0" marR="0" indent="0" algn="ctr" defTabSz="914400" eaLnBrk="1" fontAlgn="auto" latinLnBrk="0" hangingPunct="1">
            <a:lnSpc>
              <a:spcPct val="100000"/>
            </a:lnSpc>
            <a:spcBef>
              <a:spcPts val="0"/>
            </a:spcBef>
            <a:spcAft>
              <a:spcPts val="0"/>
            </a:spcAft>
            <a:buClrTx/>
            <a:buSzTx/>
            <a:buFontTx/>
            <a:buNone/>
            <a:tabLst/>
            <a:defRPr/>
          </a:pPr>
          <a:endParaRPr lang="nl-NL" sz="1200" b="1">
            <a:solidFill>
              <a:srgbClr val="FF0000"/>
            </a:solidFill>
            <a:effectLst/>
            <a:latin typeface="Arial" panose="020B0604020202020204" pitchFamily="34" charset="0"/>
            <a:ea typeface="+mn-ea"/>
            <a:cs typeface="Arial" panose="020B0604020202020204" pitchFamily="34" charset="0"/>
          </a:endParaRPr>
        </a:p>
        <a:p>
          <a:pPr marL="0" marR="0" indent="0" algn="ctr" defTabSz="914400" eaLnBrk="1" fontAlgn="auto" latinLnBrk="0" hangingPunct="1">
            <a:lnSpc>
              <a:spcPct val="100000"/>
            </a:lnSpc>
            <a:spcBef>
              <a:spcPts val="0"/>
            </a:spcBef>
            <a:spcAft>
              <a:spcPts val="0"/>
            </a:spcAft>
            <a:buClrTx/>
            <a:buSzTx/>
            <a:buFontTx/>
            <a:buNone/>
            <a:tabLst/>
            <a:defRPr/>
          </a:pPr>
          <a:endParaRPr lang="nl-NL" sz="1200" b="1">
            <a:solidFill>
              <a:srgbClr val="FF0000"/>
            </a:solidFill>
            <a:effectLst/>
            <a:latin typeface="Arial" panose="020B0604020202020204" pitchFamily="34" charset="0"/>
            <a:ea typeface="+mn-ea"/>
            <a:cs typeface="Arial" panose="020B0604020202020204" pitchFamily="34" charset="0"/>
          </a:endParaRPr>
        </a:p>
        <a:p>
          <a:pPr marL="0" marR="0" indent="0" algn="ctr" defTabSz="914400" eaLnBrk="1" fontAlgn="auto" latinLnBrk="0" hangingPunct="1">
            <a:lnSpc>
              <a:spcPct val="100000"/>
            </a:lnSpc>
            <a:spcBef>
              <a:spcPts val="0"/>
            </a:spcBef>
            <a:spcAft>
              <a:spcPts val="0"/>
            </a:spcAft>
            <a:buClrTx/>
            <a:buSzTx/>
            <a:buFontTx/>
            <a:buNone/>
            <a:tabLst/>
            <a:defRPr/>
          </a:pPr>
          <a:endParaRPr lang="nl-NL" sz="1200" b="1">
            <a:solidFill>
              <a:srgbClr val="FF0000"/>
            </a:solidFill>
            <a:effectLst/>
            <a:latin typeface="Arial" panose="020B0604020202020204" pitchFamily="34" charset="0"/>
            <a:ea typeface="+mn-ea"/>
            <a:cs typeface="Arial" panose="020B0604020202020204" pitchFamily="34" charset="0"/>
          </a:endParaRPr>
        </a:p>
        <a:p>
          <a:pPr marL="0" marR="0" indent="0" algn="ctr" defTabSz="914400" eaLnBrk="1" fontAlgn="auto" latinLnBrk="0" hangingPunct="1">
            <a:lnSpc>
              <a:spcPct val="100000"/>
            </a:lnSpc>
            <a:spcBef>
              <a:spcPts val="0"/>
            </a:spcBef>
            <a:spcAft>
              <a:spcPts val="0"/>
            </a:spcAft>
            <a:buClrTx/>
            <a:buSzTx/>
            <a:buFontTx/>
            <a:buNone/>
            <a:tabLst/>
            <a:defRPr/>
          </a:pPr>
          <a:endParaRPr lang="nl-NL" sz="1200" b="1">
            <a:solidFill>
              <a:srgbClr val="FF0000"/>
            </a:solidFill>
            <a:effectLst/>
            <a:latin typeface="Arial" panose="020B0604020202020204" pitchFamily="34" charset="0"/>
            <a:ea typeface="+mn-ea"/>
            <a:cs typeface="Arial" panose="020B0604020202020204" pitchFamily="34" charset="0"/>
          </a:endParaRPr>
        </a:p>
        <a:p>
          <a:pPr algn="ctr" eaLnBrk="1" fontAlgn="auto" latinLnBrk="0" hangingPunct="1"/>
          <a:r>
            <a:rPr lang="nl-NL" sz="1400" b="1">
              <a:effectLst/>
              <a:latin typeface="+mn-lt"/>
              <a:ea typeface="+mn-ea"/>
              <a:cs typeface="+mn-cs"/>
            </a:rPr>
            <a:t> Temporary Subsidy Scheme ERTMS freight locomotives European Rail Traffic Management System (ERTMS)</a:t>
          </a:r>
          <a:r>
            <a:rPr lang="nl-NL" sz="1400" b="1" baseline="0">
              <a:effectLst/>
              <a:latin typeface="+mn-lt"/>
              <a:ea typeface="+mn-ea"/>
              <a:cs typeface="+mn-cs"/>
            </a:rPr>
            <a:t> 2025</a:t>
          </a:r>
          <a:endParaRPr lang="en-US" sz="1400">
            <a:effectLst/>
          </a:endParaRPr>
        </a:p>
        <a:p>
          <a:pPr algn="ctr" eaLnBrk="1" fontAlgn="auto" latinLnBrk="0" hangingPunct="1"/>
          <a:endParaRPr lang="en-US" sz="1400">
            <a:effectLst/>
          </a:endParaRPr>
        </a:p>
        <a:p>
          <a:pPr marL="0" marR="0" indent="0" algn="ctr" defTabSz="914400" eaLnBrk="1" fontAlgn="auto" latinLnBrk="0" hangingPunct="1">
            <a:lnSpc>
              <a:spcPct val="100000"/>
            </a:lnSpc>
            <a:spcBef>
              <a:spcPts val="0"/>
            </a:spcBef>
            <a:spcAft>
              <a:spcPts val="0"/>
            </a:spcAft>
            <a:buClrTx/>
            <a:buSzTx/>
            <a:buFontTx/>
            <a:buNone/>
            <a:tabLst/>
            <a:defRPr/>
          </a:pPr>
          <a:r>
            <a:rPr lang="nl-NL" sz="1800" b="1">
              <a:effectLst/>
              <a:latin typeface="Arial" panose="020B0604020202020204" pitchFamily="34" charset="0"/>
              <a:ea typeface="+mn-ea"/>
              <a:cs typeface="Arial" panose="020B0604020202020204" pitchFamily="34" charset="0"/>
            </a:rPr>
            <a:t>Budget format</a:t>
          </a:r>
          <a:endParaRPr lang="nl-NL" sz="1400" b="1">
            <a:effectLst/>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US" sz="1400">
            <a:effectLst/>
            <a:latin typeface="Arial" panose="020B0604020202020204" pitchFamily="34" charset="0"/>
            <a:cs typeface="Arial" panose="020B0604020202020204" pitchFamily="34" charset="0"/>
          </a:endParaRPr>
        </a:p>
        <a:p>
          <a:pPr marL="0" marR="0" indent="0" algn="ctr" defTabSz="914400" eaLnBrk="1" fontAlgn="auto" latinLnBrk="0" hangingPunct="1">
            <a:lnSpc>
              <a:spcPct val="100000"/>
            </a:lnSpc>
            <a:spcBef>
              <a:spcPts val="0"/>
            </a:spcBef>
            <a:spcAft>
              <a:spcPts val="0"/>
            </a:spcAft>
            <a:buClrTx/>
            <a:buSzTx/>
            <a:buFontTx/>
            <a:buNone/>
            <a:tabLst/>
            <a:defRPr/>
          </a:pPr>
          <a:r>
            <a:rPr lang="nl-NL" sz="1200" b="0">
              <a:effectLst/>
              <a:latin typeface="Arial" panose="020B0604020202020204" pitchFamily="34" charset="0"/>
              <a:ea typeface="+mn-ea"/>
              <a:cs typeface="Arial" panose="020B0604020202020204" pitchFamily="34" charset="0"/>
            </a:rPr>
            <a:t>For serial adaptations and prototype development</a:t>
          </a:r>
          <a:endParaRPr lang="nl-NL" sz="1200" b="1" baseline="0">
            <a:solidFill>
              <a:srgbClr val="FF0000"/>
            </a:solidFill>
            <a:effectLst/>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lang="nl-NL" sz="900" b="0" baseline="0">
              <a:effectLst/>
              <a:latin typeface="Arial" panose="020B0604020202020204" pitchFamily="34" charset="0"/>
              <a:ea typeface="+mn-ea"/>
              <a:cs typeface="Arial" panose="020B0604020202020204" pitchFamily="34" charset="0"/>
            </a:rPr>
            <a:t>Version 2025.01</a:t>
          </a:r>
          <a:endParaRPr lang="nl-NL" sz="1200" b="0" baseline="0">
            <a:solidFill>
              <a:srgbClr val="FF0000"/>
            </a:solidFill>
            <a:effectLst/>
            <a:latin typeface="Arial" panose="020B0604020202020204" pitchFamily="34" charset="0"/>
            <a:ea typeface="+mn-ea"/>
            <a:cs typeface="Arial" panose="020B0604020202020204" pitchFamily="34" charset="0"/>
          </a:endParaRPr>
        </a:p>
      </xdr:txBody>
    </xdr:sp>
    <xdr:clientData/>
  </xdr:twoCellAnchor>
  <xdr:twoCellAnchor editAs="oneCell">
    <xdr:from>
      <xdr:col>4</xdr:col>
      <xdr:colOff>114302</xdr:colOff>
      <xdr:row>0</xdr:row>
      <xdr:rowOff>28575</xdr:rowOff>
    </xdr:from>
    <xdr:to>
      <xdr:col>4</xdr:col>
      <xdr:colOff>581027</xdr:colOff>
      <xdr:row>8</xdr:row>
      <xdr:rowOff>66675</xdr:rowOff>
    </xdr:to>
    <xdr:pic>
      <xdr:nvPicPr>
        <xdr:cNvPr id="4" name="Afbeelding 3">
          <a:extLst>
            <a:ext uri="{FF2B5EF4-FFF2-40B4-BE49-F238E27FC236}">
              <a16:creationId xmlns:a16="http://schemas.microsoft.com/office/drawing/2014/main" id="{47DAF4BD-D073-2CB7-979A-98D980C4D07D}"/>
            </a:ext>
            <a:ext uri="{C183D7F6-B498-43B3-948B-1728B52AA6E4}">
              <adec:decorative xmlns:adec="http://schemas.microsoft.com/office/drawing/2017/decorative" val="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2" y="28575"/>
          <a:ext cx="466725" cy="1333500"/>
        </a:xfrm>
        <a:prstGeom prst="rect">
          <a:avLst/>
        </a:prstGeom>
        <a:noFill/>
        <a:ln w="9525">
          <a:noFill/>
          <a:miter lim="800000"/>
          <a:headEnd/>
          <a:tailEnd/>
        </a:ln>
      </xdr:spPr>
    </xdr:pic>
    <xdr:clientData/>
  </xdr:twoCellAnchor>
  <xdr:twoCellAnchor editAs="oneCell">
    <xdr:from>
      <xdr:col>4</xdr:col>
      <xdr:colOff>659132</xdr:colOff>
      <xdr:row>6</xdr:row>
      <xdr:rowOff>39370</xdr:rowOff>
    </xdr:from>
    <xdr:to>
      <xdr:col>7</xdr:col>
      <xdr:colOff>400052</xdr:colOff>
      <xdr:row>7</xdr:row>
      <xdr:rowOff>20320</xdr:rowOff>
    </xdr:to>
    <xdr:pic>
      <xdr:nvPicPr>
        <xdr:cNvPr id="5" name="image1.png">
          <a:extLst>
            <a:ext uri="{FF2B5EF4-FFF2-40B4-BE49-F238E27FC236}">
              <a16:creationId xmlns:a16="http://schemas.microsoft.com/office/drawing/2014/main" id="{831BB25B-138B-419A-F4C8-BCB10E369CF4}"/>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02332" y="1010920"/>
          <a:ext cx="1798320" cy="1428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511628</xdr:colOff>
      <xdr:row>0</xdr:row>
      <xdr:rowOff>0</xdr:rowOff>
    </xdr:from>
    <xdr:to>
      <xdr:col>16</xdr:col>
      <xdr:colOff>600982</xdr:colOff>
      <xdr:row>7</xdr:row>
      <xdr:rowOff>229195</xdr:rowOff>
    </xdr:to>
    <xdr:pic>
      <xdr:nvPicPr>
        <xdr:cNvPr id="3" name="Afbeelding 2" descr="logo rijksdienst voor ondernemend nederland">
          <a:extLst>
            <a:ext uri="{FF2B5EF4-FFF2-40B4-BE49-F238E27FC236}">
              <a16:creationId xmlns:a16="http://schemas.microsoft.com/office/drawing/2014/main" id="{BE7D4496-3FF8-44FB-8E6E-780971B7BC8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31578" y="0"/>
          <a:ext cx="2283279" cy="13626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142875</xdr:colOff>
      <xdr:row>0</xdr:row>
      <xdr:rowOff>-47625</xdr:rowOff>
    </xdr:from>
    <xdr:ext cx="0" cy="0"/>
    <xdr:sp macro="" textlink="">
      <xdr:nvSpPr>
        <xdr:cNvPr id="90" name="Tekstvak 9">
          <a:extLst>
            <a:ext uri="{FF2B5EF4-FFF2-40B4-BE49-F238E27FC236}">
              <a16:creationId xmlns:a16="http://schemas.microsoft.com/office/drawing/2014/main" id="{1B2D00D0-50C6-4641-8638-E7AB4B5F68C4}"/>
            </a:ext>
          </a:extLst>
        </xdr:cNvPr>
        <xdr:cNvSpPr txBox="1">
          <a:spLocks noChangeAspect="1"/>
        </xdr:cNvSpPr>
      </xdr:nvSpPr>
      <xdr:spPr>
        <a:xfrm>
          <a:off x="142875" y="-47625"/>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noAutofit/>
        </a:bodyPr>
        <a:lstStyle/>
        <a:p>
          <a:r>
            <a:rPr lang="nl-NL" sz="1000" b="1">
              <a:solidFill>
                <a:schemeClr val="dk1"/>
              </a:solidFill>
              <a:effectLst/>
              <a:latin typeface="Verdana" panose="020B0604030504040204" pitchFamily="34" charset="0"/>
              <a:ea typeface="Verdana" panose="020B0604030504040204" pitchFamily="34" charset="0"/>
              <a:cs typeface="Verdana" panose="020B0604030504040204" pitchFamily="34" charset="0"/>
            </a:rPr>
            <a:t>Toelichting </a:t>
          </a:r>
          <a:endParaRPr lang="nl-NL" sz="1000">
            <a:effectLst/>
            <a:latin typeface="Verdana" panose="020B0604030504040204" pitchFamily="34" charset="0"/>
            <a:ea typeface="Verdana" panose="020B0604030504040204" pitchFamily="34" charset="0"/>
            <a:cs typeface="Verdana" panose="020B0604030504040204" pitchFamily="34" charset="0"/>
          </a:endParaRPr>
        </a:p>
        <a:p>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Dit tabblad is verplicht om in te vullen als u een prototype gaat ontwikkelen.  </a:t>
          </a:r>
        </a:p>
        <a:p>
          <a:r>
            <a:rPr lang="nl-NL" sz="1000">
              <a:effectLst/>
              <a:latin typeface="Verdana" panose="020B0604030504040204" pitchFamily="34" charset="0"/>
              <a:ea typeface="Verdana" panose="020B0604030504040204" pitchFamily="34" charset="0"/>
              <a:cs typeface="Verdana" panose="020B0604030504040204" pitchFamily="34" charset="0"/>
            </a:rPr>
            <a:t>RVO </a:t>
          </a:r>
          <a:r>
            <a:rPr lang="nl-NL" sz="1100">
              <a:solidFill>
                <a:schemeClr val="dk1"/>
              </a:solidFill>
              <a:effectLst/>
              <a:latin typeface="+mn-lt"/>
              <a:ea typeface="+mn-ea"/>
              <a:cs typeface="+mn-cs"/>
            </a:rPr>
            <a:t>bevoorschot</a:t>
          </a:r>
          <a:r>
            <a:rPr lang="nl-NL" sz="1000">
              <a:effectLst/>
              <a:latin typeface="Verdana" panose="020B0604030504040204" pitchFamily="34" charset="0"/>
              <a:ea typeface="Verdana" panose="020B0604030504040204" pitchFamily="34" charset="0"/>
              <a:cs typeface="Verdana" panose="020B0604030504040204" pitchFamily="34" charset="0"/>
            </a:rPr>
            <a:t>  tot 95%,</a:t>
          </a:r>
          <a:r>
            <a:rPr lang="nl-NL" sz="1000" baseline="0">
              <a:effectLst/>
              <a:latin typeface="Verdana" panose="020B0604030504040204" pitchFamily="34" charset="0"/>
              <a:ea typeface="Verdana" panose="020B0604030504040204" pitchFamily="34" charset="0"/>
              <a:cs typeface="Verdana" panose="020B0604030504040204" pitchFamily="34" charset="0"/>
            </a:rPr>
            <a:t> de laatste 5% betalen we uit bij subsidievaststelling.</a:t>
          </a:r>
          <a:endParaRPr lang="nl-NL" sz="1000">
            <a:effectLst/>
            <a:latin typeface="Verdana" panose="020B0604030504040204" pitchFamily="34" charset="0"/>
            <a:ea typeface="Verdana" panose="020B0604030504040204" pitchFamily="34" charset="0"/>
            <a:cs typeface="Verdana" panose="020B0604030504040204" pitchFamily="34" charset="0"/>
          </a:endParaRPr>
        </a:p>
        <a:p>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Vul voor iedere vast gedefinieerde mijlpaal de kosten in conform het mijlpalenoverzicht in het projectplan:</a:t>
          </a:r>
          <a:endParaRPr lang="nl-NL" sz="1000">
            <a:effectLst/>
            <a:latin typeface="Verdana" panose="020B0604030504040204" pitchFamily="34" charset="0"/>
            <a:ea typeface="Verdana" panose="020B0604030504040204" pitchFamily="34" charset="0"/>
            <a:cs typeface="Verdana" panose="020B0604030504040204" pitchFamily="34" charset="0"/>
          </a:endParaRPr>
        </a:p>
        <a:p>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 Vul onderaan de begin- en einddatum in van de start van de activiteiten voor een mijlpaal, tot aan de datum waarop de mijlpaal behaald moet zijn.</a:t>
          </a:r>
        </a:p>
        <a:p>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 Mijlpaal 1 subsidieverlening zal RVO </a:t>
          </a:r>
          <a:r>
            <a:rPr lang="nl-NL"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invullen en kunt u leeglaten. U kunt rekening houden dat deze mijlpalen ongeveer 13 weken na indienen van uw project</a:t>
          </a:r>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 zal vallen.</a:t>
          </a:r>
        </a:p>
        <a:p>
          <a:endPar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Voor elke mijlpaal hanteert RVO een voorgedefinieerd percentage.</a:t>
          </a:r>
        </a:p>
        <a:p>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Het is belangrij</a:t>
          </a:r>
          <a:r>
            <a:rPr lang="nl-NL"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k dat u RVO informeert over het behalen van mijlpalen 2 t/m 5. RVO kan vervolgens aan u het betreffende voorschot uitbetalen. Mocht u vertraging oplopen bent u verplicht dit bij RVO te melden.  </a:t>
          </a:r>
          <a:endPar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endParaRPr lang="nl-NL" sz="1000">
            <a:effectLst/>
            <a:latin typeface="Verdana" panose="020B0604030504040204" pitchFamily="34" charset="0"/>
            <a:ea typeface="Verdana" panose="020B0604030504040204" pitchFamily="34" charset="0"/>
            <a:cs typeface="Verdana" panose="020B0604030504040204" pitchFamily="34" charset="0"/>
          </a:endParaRPr>
        </a:p>
        <a:p>
          <a:r>
            <a:rPr lang="nl-NL" sz="1000" b="1">
              <a:solidFill>
                <a:schemeClr val="dk1"/>
              </a:solidFill>
              <a:effectLst/>
              <a:latin typeface="Verdana" panose="020B0604030504040204" pitchFamily="34" charset="0"/>
              <a:ea typeface="Verdana" panose="020B0604030504040204" pitchFamily="34" charset="0"/>
              <a:cs typeface="Verdana" panose="020B0604030504040204" pitchFamily="34" charset="0"/>
            </a:rPr>
            <a:t>N.B.:</a:t>
          </a:r>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 De </a:t>
          </a:r>
          <a:r>
            <a:rPr lang="nl-NL"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begin- en einddatum van elke mijlpaal moeten binnen de looptijd van het project vallen.</a:t>
          </a:r>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 Ook moet het totaal aan opgevoerde kosten in onderstaande tabel gelijk zijn aan de totale kosten zoals weergegeven op het tabblad "Projectoverzicht". </a:t>
          </a:r>
        </a:p>
        <a:p>
          <a:endParaRPr lang="nl-NL"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endParaRPr lang="nl-NL"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endParaRPr lang="nl-NL" sz="1000">
            <a:effectLst/>
            <a:latin typeface="Verdana" panose="020B0604030504040204" pitchFamily="34" charset="0"/>
            <a:ea typeface="Verdana" panose="020B0604030504040204" pitchFamily="34" charset="0"/>
            <a:cs typeface="Verdana" panose="020B0604030504040204" pitchFamily="34" charset="0"/>
          </a:endParaRPr>
        </a:p>
      </xdr:txBody>
    </xdr:sp>
    <xdr:clientData/>
  </xdr:oneCellAnchor>
  <xdr:twoCellAnchor>
    <xdr:from>
      <xdr:col>1</xdr:col>
      <xdr:colOff>8659</xdr:colOff>
      <xdr:row>4</xdr:row>
      <xdr:rowOff>86591</xdr:rowOff>
    </xdr:from>
    <xdr:to>
      <xdr:col>9</xdr:col>
      <xdr:colOff>285750</xdr:colOff>
      <xdr:row>18</xdr:row>
      <xdr:rowOff>43296</xdr:rowOff>
    </xdr:to>
    <xdr:sp macro="" textlink="">
      <xdr:nvSpPr>
        <xdr:cNvPr id="2" name="Tekstvak 1">
          <a:extLst>
            <a:ext uri="{FF2B5EF4-FFF2-40B4-BE49-F238E27FC236}">
              <a16:creationId xmlns:a16="http://schemas.microsoft.com/office/drawing/2014/main" id="{7CB91A67-05E4-6AC5-2FD5-461670BDBA0F}"/>
            </a:ext>
          </a:extLst>
        </xdr:cNvPr>
        <xdr:cNvSpPr txBox="1"/>
      </xdr:nvSpPr>
      <xdr:spPr>
        <a:xfrm>
          <a:off x="684068" y="796636"/>
          <a:ext cx="8996796" cy="23033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b="1"/>
            <a:t>Explanation</a:t>
          </a:r>
        </a:p>
        <a:p>
          <a:r>
            <a:rPr lang="nl-NL"/>
            <a:t>This tab is mandatory to fill in if you are going to develop a prototype. 95% is advanced, the last 5% is paid out when the subsidy is determined. </a:t>
          </a:r>
        </a:p>
        <a:p>
          <a:r>
            <a:rPr lang="nl-NL"/>
            <a:t>- Fill in the expected end date of the activities for a milestone. </a:t>
          </a:r>
        </a:p>
        <a:p>
          <a:r>
            <a:rPr lang="nl-NL"/>
            <a:t>You report to RVO that you have reached the milestone and we pay out the percentage. </a:t>
          </a:r>
        </a:p>
        <a:p>
          <a:endParaRPr lang="nl-NL"/>
        </a:p>
        <a:p>
          <a:r>
            <a:rPr lang="nl-NL"/>
            <a:t>N.B.: The end date of each milestone must fall within the duration of the project.</a:t>
          </a:r>
          <a:endParaRPr lang="nl-NL" sz="1100" b="0"/>
        </a:p>
      </xdr:txBody>
    </xdr:sp>
    <xdr:clientData/>
  </xdr:twoCellAnchor>
</xdr:wsDr>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2</v>
    <v>2</v>
  </rv>
  <rv s="1">
    <v>2</v>
    <v>1</v>
  </rv>
</rvData>
</file>

<file path=xl/richData/rdrichvaluestructure.xml><?xml version="1.0" encoding="utf-8"?>
<rvStructures xmlns="http://schemas.microsoft.com/office/spreadsheetml/2017/richdata" count="2">
  <s t="_error">
    <k n="errorType" t="i"/>
    <k n="subType" t="i"/>
  </s>
  <s t="_error">
    <k n="errorType" t="i"/>
    <k n="propagated" t="b"/>
  </s>
</rvStructur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6B37F-6F19-498A-92B4-252F910C6DDB}">
  <sheetPr>
    <tabColor theme="9"/>
    <pageSetUpPr fitToPage="1"/>
  </sheetPr>
  <dimension ref="B1:H33"/>
  <sheetViews>
    <sheetView showGridLines="0" zoomScaleNormal="100" workbookViewId="0">
      <selection activeCell="B2" sqref="B2:H2"/>
    </sheetView>
  </sheetViews>
  <sheetFormatPr defaultColWidth="9" defaultRowHeight="12.75"/>
  <cols>
    <col min="1" max="1" width="2.125" style="49" customWidth="1"/>
    <col min="2" max="2" width="21.875" style="49" customWidth="1"/>
    <col min="3" max="3" width="11.625" style="49" customWidth="1"/>
    <col min="4" max="8" width="12.625" style="49" customWidth="1"/>
    <col min="9" max="9" width="2.125" style="49" customWidth="1"/>
    <col min="10" max="16384" width="9" style="49"/>
  </cols>
  <sheetData>
    <row r="1" spans="2:8" ht="13.5" thickBot="1">
      <c r="B1" s="50"/>
    </row>
    <row r="2" spans="2:8">
      <c r="B2" s="113" t="s">
        <v>0</v>
      </c>
      <c r="C2" s="529">
        <f>'Total budget'!D5</f>
        <v>0</v>
      </c>
      <c r="D2" s="529"/>
      <c r="E2" s="529"/>
      <c r="F2" s="529"/>
      <c r="G2" s="529"/>
      <c r="H2" s="530"/>
    </row>
    <row r="3" spans="2:8">
      <c r="B3" s="114" t="s">
        <v>1</v>
      </c>
      <c r="C3" s="531" t="str">
        <f>IF('splitsing serie en proto'!D3=0,"Niet ingevuld door aanvrager",'splitsing serie en proto'!D3)</f>
        <v>Project X</v>
      </c>
      <c r="D3" s="531"/>
      <c r="E3" s="531"/>
      <c r="F3" s="531"/>
      <c r="G3" s="531"/>
      <c r="H3" s="532"/>
    </row>
    <row r="4" spans="2:8">
      <c r="B4" s="114" t="s">
        <v>2</v>
      </c>
      <c r="C4" s="531" t="str">
        <f>IF('splitsing serie en proto'!D2=0,"Niet ingevuld door aanvrager",'splitsing serie en proto'!D2)</f>
        <v>Lokomotiv Moskou</v>
      </c>
      <c r="D4" s="531"/>
      <c r="E4" s="531"/>
      <c r="F4" s="531"/>
      <c r="G4" s="531"/>
      <c r="H4" s="532"/>
    </row>
    <row r="5" spans="2:8" ht="25.5">
      <c r="B5" s="115" t="s">
        <v>3</v>
      </c>
      <c r="C5" s="116" cm="1">
        <f t="array" aca="1" ref="C5" ca="1">COUNT(IF('Total budget'!$J$10:$J$14&gt;0,1,""))</f>
        <v>0</v>
      </c>
      <c r="D5" s="620"/>
      <c r="E5" s="620"/>
      <c r="F5" s="620"/>
      <c r="G5" s="620"/>
      <c r="H5" s="621"/>
    </row>
    <row r="6" spans="2:8">
      <c r="B6" s="114" t="s">
        <v>4</v>
      </c>
      <c r="C6" s="533">
        <f>IF(project_startdatum&gt;0,project_startdatum,"Niet ingevuld door aanvrager")</f>
        <v>45778</v>
      </c>
      <c r="D6" s="533"/>
      <c r="E6" s="172" t="str">
        <f>'splitsing serie en proto'!E4</f>
        <v/>
      </c>
      <c r="F6" s="172"/>
      <c r="G6" s="172"/>
      <c r="H6" s="173"/>
    </row>
    <row r="7" spans="2:8">
      <c r="B7" s="114" t="s">
        <v>5</v>
      </c>
      <c r="C7" s="528">
        <f>IF(project_einddatum&gt;0,project_einddatum,"Niet ingevuld door aanvrager")</f>
        <v>46752</v>
      </c>
      <c r="D7" s="528"/>
      <c r="E7" s="172" t="str">
        <f>'splitsing serie en proto'!E5</f>
        <v xml:space="preserve"> vul de mijlpalenbegroting in</v>
      </c>
      <c r="F7" s="172"/>
      <c r="G7" s="172"/>
      <c r="H7" s="173"/>
    </row>
    <row r="8" spans="2:8">
      <c r="B8" s="117"/>
      <c r="C8" s="132"/>
      <c r="D8" s="622"/>
      <c r="E8" s="622"/>
      <c r="F8" s="622"/>
      <c r="G8" s="622"/>
      <c r="H8" s="623"/>
    </row>
    <row r="9" spans="2:8">
      <c r="B9" s="114" t="s">
        <v>6</v>
      </c>
      <c r="C9" s="118"/>
      <c r="D9" s="624" t="str">
        <f>IF(ISNUMBER(C9),IF(datum_verlening&lt;regeling_datum_openstelling,"  Verleningsdatum ligt voor openstelllingsdatum van de regeling, dat klopt niet!",""),"  &lt;-- Vul hier de verwachte beschikkingsdatum in.")</f>
        <v xml:space="preserve">  &lt;-- Vul hier de verwachte beschikkingsdatum in.</v>
      </c>
      <c r="E9" s="624"/>
      <c r="F9" s="624"/>
      <c r="G9" s="624"/>
      <c r="H9" s="625"/>
    </row>
    <row r="10" spans="2:8">
      <c r="B10" s="111"/>
      <c r="C10" s="133"/>
      <c r="D10" s="626"/>
      <c r="E10" s="626"/>
      <c r="F10" s="626"/>
      <c r="G10" s="626"/>
      <c r="H10" s="627"/>
    </row>
    <row r="11" spans="2:8">
      <c r="B11" s="110" t="s">
        <v>7</v>
      </c>
      <c r="C11" s="119">
        <v>50000</v>
      </c>
      <c r="D11" s="626"/>
      <c r="E11" s="626"/>
      <c r="F11" s="626"/>
      <c r="G11" s="626"/>
      <c r="H11" s="627"/>
    </row>
    <row r="12" spans="2:8" ht="13.5" thickBot="1">
      <c r="B12" s="134" t="s">
        <v>8</v>
      </c>
      <c r="C12" s="135">
        <f ca="1">'Total budget'!N16</f>
        <v>0</v>
      </c>
      <c r="D12" s="628" t="str">
        <f ca="1">IF(C12&gt;C11,"  Let op: er wordt meer subsidie gevraagd dan het maximale bedrag.","")</f>
        <v/>
      </c>
      <c r="E12" s="628"/>
      <c r="F12" s="628"/>
      <c r="G12" s="628"/>
      <c r="H12" s="629"/>
    </row>
    <row r="13" spans="2:8" ht="24.75" customHeight="1" thickBot="1"/>
    <row r="14" spans="2:8">
      <c r="B14" s="101" t="s">
        <v>9</v>
      </c>
      <c r="C14" s="104"/>
      <c r="D14" s="104"/>
      <c r="E14" s="104"/>
      <c r="F14" s="104"/>
      <c r="G14" s="104"/>
      <c r="H14" s="105"/>
    </row>
    <row r="15" spans="2:8">
      <c r="B15" s="111" t="s">
        <v>10</v>
      </c>
      <c r="C15" s="121" t="s">
        <v>11</v>
      </c>
      <c r="D15" s="93" t="s">
        <v>12</v>
      </c>
      <c r="E15" s="51" t="s">
        <v>13</v>
      </c>
      <c r="F15" s="51" t="s">
        <v>14</v>
      </c>
      <c r="G15" s="51" t="s">
        <v>15</v>
      </c>
      <c r="H15" s="106" t="s">
        <v>16</v>
      </c>
    </row>
    <row r="16" spans="2:8" s="148" customFormat="1" ht="30.75" customHeight="1">
      <c r="B16" s="147" t="s">
        <v>17</v>
      </c>
      <c r="C16" s="122" t="s">
        <v>18</v>
      </c>
      <c r="D16" s="97" t="e">
        <f>INDEX(totaalbegroting_organisatiesoort,MATCH((INDEX(Lijsten!$F$5:$F$10,MATCH('Overzicht voor FEM'!D$15,Lijsten!$G$5:$G$10,0))),'Total budget'!$B$10:$B$14,0),1)</f>
        <v>#N/A</v>
      </c>
      <c r="E16" s="97" t="e">
        <f>INDEX(totaalbegroting_organisatiesoort,MATCH((INDEX(Lijsten!$F$5:$F$10,MATCH('Overzicht voor FEM'!E$15,Lijsten!$G$5:$G$10,0))),'Total budget'!$B$10:$B$14,0),1)</f>
        <v>#N/A</v>
      </c>
      <c r="F16" s="97" t="e">
        <f>INDEX(totaalbegroting_organisatiesoort,MATCH((INDEX(Lijsten!$F$5:$F$10,MATCH('Overzicht voor FEM'!F$15,Lijsten!$G$5:$G$10,0))),'Total budget'!$B$10:$B$14,0),1)</f>
        <v>#N/A</v>
      </c>
      <c r="G16" s="97" t="e">
        <f>INDEX(totaalbegroting_organisatiesoort,MATCH((INDEX(Lijsten!$F$5:$F$10,MATCH('Overzicht voor FEM'!G$15,Lijsten!$G$5:$G$10,0))),'Total budget'!$B$10:$B$14,0),1)</f>
        <v>#N/A</v>
      </c>
      <c r="H16" s="107" t="e">
        <f>INDEX(totaalbegroting_organisatiesoort,MATCH((INDEX(Lijsten!$F$5:$F$10,MATCH('Overzicht voor FEM'!H$15,Lijsten!$G$5:$G$10,0))),'Total budget'!$B$10:$B$14,0),1)</f>
        <v>#N/A</v>
      </c>
    </row>
    <row r="17" spans="2:8" s="148" customFormat="1" ht="51.75" customHeight="1" thickBot="1">
      <c r="B17" s="146" t="s">
        <v>19</v>
      </c>
      <c r="C17" s="123" t="s">
        <v>18</v>
      </c>
      <c r="D17" s="108" t="e">
        <f>INDEX(totaalbegroting_loonkostensystm,MATCH((INDEX(Lijsten!$F$5:$F$10,MATCH('Overzicht voor FEM'!D$15,Lijsten!$G$5:$G$10,0))),'Total budget'!$B$10:$B$14,0),1)</f>
        <v>#N/A</v>
      </c>
      <c r="E17" s="108" t="e">
        <f>INDEX(totaalbegroting_loonkostensystm,MATCH((INDEX(Lijsten!$F$5:$F$10,MATCH('Overzicht voor FEM'!E$15,Lijsten!$G$5:$G$10,0))),'Total budget'!$B$10:$B$14,0),1)</f>
        <v>#N/A</v>
      </c>
      <c r="F17" s="108" t="e">
        <f>INDEX(totaalbegroting_loonkostensystm,MATCH((INDEX(Lijsten!$F$5:$F$10,MATCH('Overzicht voor FEM'!F$15,Lijsten!$G$5:$G$10,0))),'Total budget'!$B$10:$B$14,0),1)</f>
        <v>#N/A</v>
      </c>
      <c r="G17" s="108" t="e">
        <f>INDEX(totaalbegroting_loonkostensystm,MATCH((INDEX(Lijsten!$F$5:$F$10,MATCH('Overzicht voor FEM'!G$15,Lijsten!$G$5:$G$10,0))),'Total budget'!$B$10:$B$14,0),1)</f>
        <v>#N/A</v>
      </c>
      <c r="H17" s="109" t="e">
        <f>INDEX(totaalbegroting_loonkostensystm,MATCH((INDEX(Lijsten!$F$5:$F$10,MATCH('Overzicht voor FEM'!H$15,Lijsten!$G$5:$G$10,0))),'Total budget'!$B$10:$B$14,0),1)</f>
        <v>#N/A</v>
      </c>
    </row>
    <row r="18" spans="2:8" ht="25.5" customHeight="1" thickBot="1">
      <c r="B18" s="52"/>
      <c r="C18" s="103"/>
      <c r="D18" s="103"/>
      <c r="E18" s="98"/>
      <c r="F18" s="98"/>
      <c r="G18" s="98"/>
      <c r="H18" s="98"/>
    </row>
    <row r="19" spans="2:8">
      <c r="B19" s="525" t="s">
        <v>20</v>
      </c>
      <c r="C19" s="526"/>
      <c r="D19" s="526"/>
      <c r="E19" s="526"/>
      <c r="F19" s="526"/>
      <c r="G19" s="526"/>
      <c r="H19" s="527"/>
    </row>
    <row r="20" spans="2:8">
      <c r="B20" s="111" t="s">
        <v>21</v>
      </c>
      <c r="C20" s="124" t="e">
        <f>SUM(D20:H20)</f>
        <v>#N/A</v>
      </c>
      <c r="D20" s="94" t="e">
        <f>INDEX(totaalbegroting_projectkosten,MATCH((INDEX(Lijsten!$F$5:$F$10,MATCH('Overzicht voor FEM'!D$15,Lijsten!$G$5:$G$10,0))),'Total budget'!$B$10:$B$14,0),1)</f>
        <v>#N/A</v>
      </c>
      <c r="E20" s="95" t="e">
        <f>INDEX(totaalbegroting_projectkosten,MATCH((INDEX(Lijsten!$F$5:$F$10,MATCH('Overzicht voor FEM'!E$15,Lijsten!$G$5:$G$10,0))),'Total budget'!$B$10:$B$14,0),1)</f>
        <v>#N/A</v>
      </c>
      <c r="F20" s="95" t="e">
        <f>INDEX(totaalbegroting_projectkosten,MATCH((INDEX(Lijsten!$F$5:$F$10,MATCH('Overzicht voor FEM'!F$15,Lijsten!$G$5:$G$10,0))),'Total budget'!$B$10:$B$14,0),1)</f>
        <v>#N/A</v>
      </c>
      <c r="G20" s="95" t="e">
        <f>INDEX(totaalbegroting_projectkosten,MATCH((INDEX(Lijsten!$F$5:$F$10,MATCH('Overzicht voor FEM'!G$15,Lijsten!$G$5:$G$10,0))),'Total budget'!$B$10:$B$14,0),1)</f>
        <v>#N/A</v>
      </c>
      <c r="H20" s="102" t="e">
        <f>INDEX(totaalbegroting_projectkosten,MATCH((INDEX(Lijsten!$F$5:$F$10,MATCH('Overzicht voor FEM'!H$15,Lijsten!$G$5:$G$10,0))),'Total budget'!$B$10:$B$14,0),1)</f>
        <v>#N/A</v>
      </c>
    </row>
    <row r="21" spans="2:8">
      <c r="B21" s="111" t="s">
        <v>7</v>
      </c>
      <c r="C21" s="124">
        <f>'Total budget'!$L$16</f>
        <v>0</v>
      </c>
      <c r="D21" s="94" t="e">
        <f>INDEX(totaalbegroting_max_subsidie,MATCH((INDEX(Lijsten!$F$5:$F$10,MATCH('Overzicht voor FEM'!D$15,Lijsten!$G$5:$G$10,0))),'Total budget'!$B$10:$B$14,0),1)</f>
        <v>#N/A</v>
      </c>
      <c r="E21" s="95" t="e">
        <f>INDEX(totaalbegroting_max_subsidie,MATCH((INDEX(Lijsten!$F$5:$F$10,MATCH('Overzicht voor FEM'!E$15,Lijsten!$G$5:$G$10,0))),'Total budget'!$B$10:$B$14,0),1)</f>
        <v>#N/A</v>
      </c>
      <c r="F21" s="95" t="e">
        <f>INDEX(totaalbegroting_max_subsidie,MATCH((INDEX(Lijsten!$F$5:$F$10,MATCH('Overzicht voor FEM'!F$15,Lijsten!$G$5:$G$10,0))),'Total budget'!$B$10:$B$14,0),1)</f>
        <v>#N/A</v>
      </c>
      <c r="G21" s="95" t="e">
        <f>INDEX(totaalbegroting_max_subsidie,MATCH((INDEX(Lijsten!$F$5:$F$10,MATCH('Overzicht voor FEM'!G$15,Lijsten!$G$5:$G$10,0))),'Total budget'!$B$10:$B$14,0),1)</f>
        <v>#N/A</v>
      </c>
      <c r="H21" s="102" t="e">
        <f>INDEX(totaalbegroting_max_subsidie,MATCH((INDEX(Lijsten!$F$5:$F$10,MATCH('Overzicht voor FEM'!H$15,Lijsten!$G$5:$G$10,0))),'Total budget'!$B$10:$B$14,0),1)</f>
        <v>#N/A</v>
      </c>
    </row>
    <row r="22" spans="2:8">
      <c r="B22" s="127" t="s">
        <v>22</v>
      </c>
      <c r="C22" s="128" t="e">
        <f>SUM(D22:H22)</f>
        <v>#N/A</v>
      </c>
      <c r="D22" s="129" t="e">
        <f>INDEX(totaalbegroting_subsidie_totaal_grevraagd,MATCH((INDEX(Lijsten!$F$5:$F$10,MATCH('Overzicht voor FEM'!D$15,Lijsten!$G$5:$G$10,0))),'Total budget'!$B$10:$B$14,0),1)</f>
        <v>#N/A</v>
      </c>
      <c r="E22" s="130" t="e">
        <f>INDEX(totaalbegroting_subsidie_totaal_grevraagd,MATCH((INDEX(Lijsten!$F$5:$F$10,MATCH('Overzicht voor FEM'!E$15,Lijsten!$G$5:$G$10,0))),'Total budget'!$B$10:$B$14,0),1)</f>
        <v>#N/A</v>
      </c>
      <c r="F22" s="130" t="e">
        <f>INDEX(totaalbegroting_subsidie_totaal_grevraagd,MATCH((INDEX(Lijsten!$F$5:$F$10,MATCH('Overzicht voor FEM'!F$15,Lijsten!$G$5:$G$10,0))),'Total budget'!$B$10:$B$14,0),1)</f>
        <v>#N/A</v>
      </c>
      <c r="G22" s="130" t="e">
        <f>INDEX(totaalbegroting_subsidie_totaal_grevraagd,MATCH((INDEX(Lijsten!$F$5:$F$10,MATCH('Overzicht voor FEM'!G$15,Lijsten!$G$5:$G$10,0))),'Total budget'!$B$10:$B$14,0),1)</f>
        <v>#N/A</v>
      </c>
      <c r="H22" s="131" t="e">
        <f>INDEX(totaalbegroting_subsidie_totaal_grevraagd,MATCH((INDEX(Lijsten!$F$5:$F$10,MATCH('Overzicht voor FEM'!H$15,Lijsten!$G$5:$G$10,0))),'Total budget'!$B$10:$B$14,0),1)</f>
        <v>#N/A</v>
      </c>
    </row>
    <row r="23" spans="2:8" s="143" customFormat="1" ht="25.5">
      <c r="B23" s="140" t="s">
        <v>23</v>
      </c>
      <c r="C23" s="141" t="str">
        <f>IFERROR(C22/C20,"")</f>
        <v/>
      </c>
      <c r="D23" s="142" t="str">
        <f>IFERROR(D22/D20,"")</f>
        <v/>
      </c>
      <c r="E23" s="142" t="str">
        <f t="shared" ref="E23:H23" si="0">IFERROR(E22/E20,"")</f>
        <v/>
      </c>
      <c r="F23" s="142" t="str">
        <f t="shared" si="0"/>
        <v/>
      </c>
      <c r="G23" s="142" t="str">
        <f t="shared" si="0"/>
        <v/>
      </c>
      <c r="H23" s="152" t="str">
        <f t="shared" si="0"/>
        <v/>
      </c>
    </row>
    <row r="24" spans="2:8" ht="13.5" thickBot="1">
      <c r="B24" s="112" t="s">
        <v>24</v>
      </c>
      <c r="C24" s="144">
        <f ca="1">'Total budget'!$R$16</f>
        <v>0</v>
      </c>
      <c r="D24" s="100" t="e">
        <f>INDEX(totaalbegroting_eigen_aandeel,MATCH((INDEX(Lijsten!$F$5:$F$10,MATCH('Overzicht voor FEM'!D$15,Lijsten!$G$5:$G$10,0))),'Total budget'!$B$10:$B$14,0),1)</f>
        <v>#N/A</v>
      </c>
      <c r="E24" s="100" t="e">
        <f>INDEX(totaalbegroting_eigen_aandeel,MATCH((INDEX(Lijsten!$F$5:$F$10,MATCH('Overzicht voor FEM'!E$15,Lijsten!$G$5:$G$10,0))),'Total budget'!$B$10:$B$14,0),1)</f>
        <v>#N/A</v>
      </c>
      <c r="F24" s="100" t="e">
        <f>INDEX(totaalbegroting_eigen_aandeel,MATCH((INDEX(Lijsten!$F$5:$F$10,MATCH('Overzicht voor FEM'!F$15,Lijsten!$G$5:$G$10,0))),'Total budget'!$B$10:$B$14,0),1)</f>
        <v>#N/A</v>
      </c>
      <c r="G24" s="100" t="e">
        <f>INDEX(totaalbegroting_eigen_aandeel,MATCH((INDEX(Lijsten!$F$5:$F$10,MATCH('Overzicht voor FEM'!G$15,Lijsten!$G$5:$G$10,0))),'Total budget'!$B$10:$B$14,0),1)</f>
        <v>#N/A</v>
      </c>
      <c r="H24" s="153" t="e">
        <f>INDEX(totaalbegroting_eigen_aandeel,MATCH((INDEX(Lijsten!$F$5:$F$10,MATCH('Overzicht voor FEM'!H$15,Lijsten!$G$5:$G$10,0))),'Total budget'!$B$10:$B$14,0),1)</f>
        <v>#N/A</v>
      </c>
    </row>
    <row r="25" spans="2:8" ht="24.75" customHeight="1" thickBot="1">
      <c r="C25" s="49" t="s">
        <v>25</v>
      </c>
      <c r="E25" s="99"/>
      <c r="F25" s="99"/>
      <c r="G25" s="99"/>
      <c r="H25" s="99"/>
    </row>
    <row r="26" spans="2:8">
      <c r="B26" s="525" t="s">
        <v>26</v>
      </c>
      <c r="C26" s="526"/>
      <c r="D26" s="526"/>
      <c r="E26" s="526"/>
      <c r="F26" s="526"/>
      <c r="G26" s="526"/>
      <c r="H26" s="527"/>
    </row>
    <row r="27" spans="2:8">
      <c r="B27" s="177"/>
      <c r="C27" s="178"/>
      <c r="D27" s="179"/>
      <c r="E27" s="179"/>
      <c r="F27" s="179"/>
      <c r="G27" s="179"/>
      <c r="H27" s="180"/>
    </row>
    <row r="28" spans="2:8" ht="13.5" thickBot="1">
      <c r="B28" s="111" t="s">
        <v>27</v>
      </c>
      <c r="C28" s="125" t="e">
        <f>MIN(C21,C22)*0.9</f>
        <v>#N/A</v>
      </c>
      <c r="D28" s="120" t="e">
        <f t="shared" ref="D28:H28" si="1">MIN(D21,D22)*0.9</f>
        <v>#N/A</v>
      </c>
      <c r="E28" s="120" t="e">
        <f t="shared" si="1"/>
        <v>#N/A</v>
      </c>
      <c r="F28" s="120" t="e">
        <f t="shared" si="1"/>
        <v>#N/A</v>
      </c>
      <c r="G28" s="120" t="e">
        <f t="shared" si="1"/>
        <v>#N/A</v>
      </c>
      <c r="H28" s="176" t="e">
        <f t="shared" si="1"/>
        <v>#N/A</v>
      </c>
    </row>
    <row r="29" spans="2:8" ht="13.5" thickBot="1">
      <c r="B29" s="112" t="s">
        <v>28</v>
      </c>
      <c r="C29" s="126" t="str">
        <f>IF(datum_verlening&gt;0,MAX(project_startdatum,datum_verlening),"")</f>
        <v/>
      </c>
      <c r="D29" s="174" t="str">
        <f>IF(datum_verlening&gt;0,MAX(project_startdatum,datum_verlening)," &lt;-- Betaaldatum kan niet worden bepaald. Vul hierboven de verlengingsdatum in.")</f>
        <v xml:space="preserve"> &lt;-- Betaaldatum kan niet worden bepaald. Vul hierboven de verlengingsdatum in.</v>
      </c>
    </row>
    <row r="30" spans="2:8" ht="13.5" thickBot="1"/>
    <row r="31" spans="2:8">
      <c r="B31" s="525" t="s">
        <v>29</v>
      </c>
      <c r="C31" s="526"/>
      <c r="D31" s="526"/>
      <c r="E31" s="526"/>
      <c r="F31" s="526"/>
      <c r="G31" s="526"/>
      <c r="H31" s="527"/>
    </row>
    <row r="32" spans="2:8" s="150" customFormat="1" ht="60.75" customHeight="1">
      <c r="B32" s="521" t="e">
        <f>IF(OR(C22&gt;C21,C22&gt;50000),"Gevraagde subsidie is hoger dan het maximum. Het subsidiebedrag, eigenaandeel en 90% voorschot zijn hier automatisch op aangepast.","")</f>
        <v>#N/A</v>
      </c>
      <c r="C32" s="522"/>
      <c r="D32" s="149" t="e">
        <f>IF(OR(D22&gt;D21,D22&gt;50000),"Deze aanvrager vraagt meer subsidie dan het maximum.","")</f>
        <v>#N/A</v>
      </c>
      <c r="E32" s="149" t="e">
        <f t="shared" ref="E32:H32" si="2">IF(OR(E22&gt;E21,E22&gt;50000),"Deze aanvrager vraagt meer subsidie dan het maximum.","")</f>
        <v>#N/A</v>
      </c>
      <c r="F32" s="149" t="e">
        <f t="shared" si="2"/>
        <v>#N/A</v>
      </c>
      <c r="G32" s="149" t="e">
        <f t="shared" si="2"/>
        <v>#N/A</v>
      </c>
      <c r="H32" s="151" t="e">
        <f t="shared" si="2"/>
        <v>#N/A</v>
      </c>
    </row>
    <row r="33" spans="2:8" ht="41.25" customHeight="1" thickBot="1">
      <c r="B33" s="523"/>
      <c r="C33" s="524"/>
      <c r="D33" s="518" t="e">
        <f>IF(SUM(D28:H28)&gt;C28,"Aanvragers vragen meer dan de maximale subsidie. Voorschotverdeling klopt hierdoor niet (zie regel: "&amp;ROW(B28)&amp;"). Bepaal handmatig in overleg met aanvragers.","")</f>
        <v>#N/A</v>
      </c>
      <c r="E33" s="519"/>
      <c r="F33" s="519"/>
      <c r="G33" s="519"/>
      <c r="H33" s="520"/>
    </row>
  </sheetData>
  <sheetProtection algorithmName="SHA-512" hashValue="CNncPbiGF14ShBsLRtSNVa5oYLAOOpJ5+sxXaQ45EzTCASDPH2twQUFr6YFqQD+RqUODeO+Xn1bP8n6Pk6aRrw==" saltValue="aWSAZNn69EjzYCtiZaEjYw==" spinCount="100000" sheet="1" objects="1" scenarios="1"/>
  <mergeCells count="17">
    <mergeCell ref="C7:D7"/>
    <mergeCell ref="C2:H2"/>
    <mergeCell ref="C3:H3"/>
    <mergeCell ref="C4:H4"/>
    <mergeCell ref="D5:H5"/>
    <mergeCell ref="C6:D6"/>
    <mergeCell ref="B32:C32"/>
    <mergeCell ref="B33:C33"/>
    <mergeCell ref="B19:H19"/>
    <mergeCell ref="B26:H26"/>
    <mergeCell ref="B31:H31"/>
    <mergeCell ref="D12:H12"/>
    <mergeCell ref="D8:H8"/>
    <mergeCell ref="D9:H9"/>
    <mergeCell ref="D10:H10"/>
    <mergeCell ref="D33:H33"/>
    <mergeCell ref="D11:H11"/>
  </mergeCells>
  <phoneticPr fontId="22" type="noConversion"/>
  <conditionalFormatting sqref="C12">
    <cfRule type="cellIs" dxfId="50" priority="9" operator="greaterThan">
      <formula>$C$11</formula>
    </cfRule>
  </conditionalFormatting>
  <conditionalFormatting sqref="C21:C22">
    <cfRule type="cellIs" dxfId="49" priority="12" operator="greaterThan">
      <formula>50000</formula>
    </cfRule>
  </conditionalFormatting>
  <conditionalFormatting sqref="C28">
    <cfRule type="cellIs" dxfId="48" priority="16" operator="greaterThan">
      <formula>50000</formula>
    </cfRule>
  </conditionalFormatting>
  <conditionalFormatting sqref="D22">
    <cfRule type="cellIs" dxfId="47" priority="5" operator="greaterThan">
      <formula>$D$21</formula>
    </cfRule>
  </conditionalFormatting>
  <conditionalFormatting sqref="D28:H28">
    <cfRule type="expression" dxfId="46" priority="7">
      <formula>IF(AND($E$28&lt;&gt;0,SUM($D$28:$H$28)&gt;$C$28),TRUE,FALSE)</formula>
    </cfRule>
  </conditionalFormatting>
  <conditionalFormatting sqref="E22">
    <cfRule type="cellIs" dxfId="45" priority="4" operator="greaterThan">
      <formula>$E$21</formula>
    </cfRule>
  </conditionalFormatting>
  <conditionalFormatting sqref="F22">
    <cfRule type="cellIs" dxfId="44" priority="3" operator="greaterThan">
      <formula>$F$21</formula>
    </cfRule>
  </conditionalFormatting>
  <conditionalFormatting sqref="G22">
    <cfRule type="cellIs" dxfId="43" priority="2" operator="greaterThan">
      <formula>$G$21</formula>
    </cfRule>
  </conditionalFormatting>
  <conditionalFormatting sqref="H22">
    <cfRule type="cellIs" dxfId="42" priority="1" operator="greaterThan">
      <formula>$H$21</formula>
    </cfRule>
  </conditionalFormatting>
  <pageMargins left="0.7" right="0.7" top="0.75" bottom="0.75" header="0.3" footer="0.3"/>
  <pageSetup paperSize="9" scale="8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4B8AF-B2C2-44CC-8A91-FE006B1CB032}">
  <sheetPr codeName="Blad10">
    <tabColor rgb="FF7030A0"/>
  </sheetPr>
  <dimension ref="A2:H69"/>
  <sheetViews>
    <sheetView zoomScale="110" zoomScaleNormal="110" workbookViewId="0">
      <selection activeCell="B2" sqref="B2:C2"/>
    </sheetView>
  </sheetViews>
  <sheetFormatPr defaultColWidth="8.875" defaultRowHeight="12"/>
  <cols>
    <col min="1" max="1" width="30.625" bestFit="1" customWidth="1"/>
    <col min="2" max="2" width="13.125" customWidth="1"/>
    <col min="3" max="3" width="10" customWidth="1"/>
    <col min="4" max="4" width="54.25" customWidth="1"/>
    <col min="6" max="6" width="62.625" customWidth="1"/>
    <col min="7" max="7" width="8.375" bestFit="1" customWidth="1"/>
    <col min="8" max="8" width="19.125" bestFit="1" customWidth="1"/>
  </cols>
  <sheetData>
    <row r="2" spans="1:8" ht="15">
      <c r="A2" s="96" t="s">
        <v>30</v>
      </c>
      <c r="B2" s="534">
        <v>45778</v>
      </c>
      <c r="C2" s="535"/>
    </row>
    <row r="4" spans="1:8" s="89" customFormat="1" ht="15.75">
      <c r="A4" s="88" t="s">
        <v>31</v>
      </c>
      <c r="B4" s="88"/>
      <c r="D4" s="88" t="s">
        <v>32</v>
      </c>
      <c r="F4" s="88" t="s">
        <v>33</v>
      </c>
      <c r="G4" s="88" t="s">
        <v>34</v>
      </c>
      <c r="H4" s="88" t="s">
        <v>35</v>
      </c>
    </row>
    <row r="5" spans="1:8">
      <c r="A5" s="41" t="s">
        <v>36</v>
      </c>
      <c r="B5" s="46"/>
      <c r="D5" s="38" t="s">
        <v>36</v>
      </c>
      <c r="F5" s="82" t="s">
        <v>37</v>
      </c>
      <c r="G5" s="92" t="s">
        <v>12</v>
      </c>
      <c r="H5" s="83" t="s">
        <v>38</v>
      </c>
    </row>
    <row r="6" spans="1:8">
      <c r="A6" s="42" t="s">
        <v>39</v>
      </c>
      <c r="B6" s="44">
        <v>0.5</v>
      </c>
      <c r="D6" s="39"/>
      <c r="F6" s="84" t="s">
        <v>40</v>
      </c>
      <c r="G6" s="14" t="s">
        <v>13</v>
      </c>
      <c r="H6" s="85" t="s">
        <v>41</v>
      </c>
    </row>
    <row r="7" spans="1:8">
      <c r="A7" s="42" t="s">
        <v>42</v>
      </c>
      <c r="B7" s="44">
        <v>0.5</v>
      </c>
      <c r="D7" s="39" t="s">
        <v>43</v>
      </c>
      <c r="F7" s="84" t="s">
        <v>44</v>
      </c>
      <c r="G7" s="14" t="s">
        <v>14</v>
      </c>
      <c r="H7" s="85" t="s">
        <v>45</v>
      </c>
    </row>
    <row r="8" spans="1:8">
      <c r="A8" s="43" t="s">
        <v>46</v>
      </c>
      <c r="B8" s="45">
        <v>0.5</v>
      </c>
      <c r="D8" s="40"/>
      <c r="F8" s="84" t="s">
        <v>47</v>
      </c>
      <c r="G8" s="14" t="s">
        <v>15</v>
      </c>
      <c r="H8" s="85" t="s">
        <v>48</v>
      </c>
    </row>
    <row r="9" spans="1:8">
      <c r="A9" s="308"/>
      <c r="B9" s="309"/>
      <c r="F9" s="86" t="s">
        <v>49</v>
      </c>
      <c r="G9" s="79" t="s">
        <v>16</v>
      </c>
      <c r="H9" s="87" t="s">
        <v>50</v>
      </c>
    </row>
    <row r="10" spans="1:8">
      <c r="A10" s="265"/>
      <c r="B10" s="310"/>
      <c r="E10" t="e" cm="1">
        <f t="array" aca="1" ref="E10:E12" ca="1">IF(INDIRECT(Lijsten!A14:A16)=0,"",INDIRECT(Lijsten!$H5&amp;E$18))</f>
        <v>#REF!</v>
      </c>
      <c r="F10" s="14"/>
      <c r="G10" s="14"/>
      <c r="H10" s="14"/>
    </row>
    <row r="11" spans="1:8" ht="12" customHeight="1">
      <c r="A11" s="42" t="s">
        <v>51</v>
      </c>
      <c r="D11" t="s">
        <v>52</v>
      </c>
      <c r="E11" t="e">
        <f ca="1"/>
        <v>#REF!</v>
      </c>
      <c r="F11" s="536" t="s">
        <v>53</v>
      </c>
      <c r="G11" s="537"/>
      <c r="H11" s="538"/>
    </row>
    <row r="12" spans="1:8">
      <c r="A12" s="265"/>
      <c r="E12" t="e">
        <f ca="1"/>
        <v>#REF!</v>
      </c>
      <c r="F12" s="379"/>
      <c r="G12" s="379"/>
      <c r="H12" s="379"/>
    </row>
    <row r="13" spans="1:8" ht="15.75">
      <c r="A13" s="88" t="s">
        <v>54</v>
      </c>
      <c r="D13" s="88" t="s">
        <v>55</v>
      </c>
      <c r="F13" s="88" t="s">
        <v>56</v>
      </c>
      <c r="G13" s="380"/>
      <c r="H13" s="380"/>
    </row>
    <row r="14" spans="1:8">
      <c r="A14" s="266" t="s">
        <v>36</v>
      </c>
      <c r="B14" s="326"/>
      <c r="C14" s="328"/>
      <c r="D14" s="266" t="s">
        <v>36</v>
      </c>
      <c r="E14" s="370"/>
      <c r="F14" s="381" t="s">
        <v>36</v>
      </c>
      <c r="G14" s="380"/>
      <c r="H14" s="380"/>
    </row>
    <row r="15" spans="1:8" ht="13.5">
      <c r="A15" s="267" t="s">
        <v>57</v>
      </c>
      <c r="B15" s="327">
        <v>0.5</v>
      </c>
      <c r="C15" s="329">
        <v>200000</v>
      </c>
      <c r="D15" s="392" t="s">
        <v>58</v>
      </c>
      <c r="E15" s="370"/>
      <c r="F15" s="498" t="s">
        <v>59</v>
      </c>
      <c r="G15" s="380"/>
      <c r="H15" s="380"/>
    </row>
    <row r="16" spans="1:8" ht="13.5">
      <c r="A16" s="267" t="s">
        <v>60</v>
      </c>
      <c r="B16" s="327">
        <v>0.5</v>
      </c>
      <c r="C16" s="330">
        <v>2000000</v>
      </c>
      <c r="D16" s="392" t="s">
        <v>61</v>
      </c>
      <c r="E16" s="370"/>
      <c r="F16" s="498" t="s">
        <v>62</v>
      </c>
      <c r="G16" s="380"/>
      <c r="H16" s="380"/>
    </row>
    <row r="17" spans="1:8" ht="13.5">
      <c r="A17" s="269"/>
      <c r="B17" s="270"/>
      <c r="D17" s="393" t="s">
        <v>63</v>
      </c>
      <c r="E17" s="370"/>
      <c r="F17" s="498" t="s">
        <v>64</v>
      </c>
      <c r="G17" s="380"/>
      <c r="H17" s="380"/>
    </row>
    <row r="18" spans="1:8" ht="28.5" customHeight="1">
      <c r="A18" s="88" t="s">
        <v>65</v>
      </c>
      <c r="D18" s="88" t="s">
        <v>66</v>
      </c>
      <c r="F18" s="503" t="s">
        <v>67</v>
      </c>
    </row>
    <row r="19" spans="1:8">
      <c r="A19" s="266" t="s">
        <v>36</v>
      </c>
      <c r="B19" s="268"/>
      <c r="D19" s="381" t="s">
        <v>36</v>
      </c>
    </row>
    <row r="20" spans="1:8" ht="12.75">
      <c r="A20" s="362">
        <v>1</v>
      </c>
      <c r="B20" s="363">
        <v>2000000</v>
      </c>
      <c r="D20" s="387" t="s">
        <v>68</v>
      </c>
      <c r="G20" s="386"/>
    </row>
    <row r="21" spans="1:8" ht="12.75">
      <c r="A21" s="364">
        <v>2</v>
      </c>
      <c r="B21" s="365">
        <v>4000000</v>
      </c>
      <c r="D21" s="387" t="s">
        <v>69</v>
      </c>
      <c r="G21" s="386"/>
    </row>
    <row r="22" spans="1:8">
      <c r="D22" s="387" t="s">
        <v>70</v>
      </c>
    </row>
    <row r="23" spans="1:8" ht="15.75">
      <c r="A23" s="88" t="s">
        <v>71</v>
      </c>
      <c r="D23" s="387" t="s">
        <v>72</v>
      </c>
    </row>
    <row r="24" spans="1:8">
      <c r="A24" s="381" t="s">
        <v>36</v>
      </c>
      <c r="D24" s="387" t="s">
        <v>73</v>
      </c>
    </row>
    <row r="25" spans="1:8">
      <c r="A25" s="511" t="s">
        <v>74</v>
      </c>
      <c r="B25" s="136"/>
      <c r="D25" s="387" t="s">
        <v>75</v>
      </c>
    </row>
    <row r="26" spans="1:8">
      <c r="A26" s="512" t="s">
        <v>76</v>
      </c>
      <c r="B26" s="136"/>
      <c r="D26" s="387" t="s">
        <v>77</v>
      </c>
    </row>
    <row r="27" spans="1:8">
      <c r="A27" s="404"/>
      <c r="B27" s="136"/>
      <c r="D27" s="387" t="s">
        <v>78</v>
      </c>
    </row>
    <row r="28" spans="1:8">
      <c r="A28" s="404"/>
      <c r="B28" s="136"/>
      <c r="D28" s="387" t="s">
        <v>79</v>
      </c>
    </row>
    <row r="29" spans="1:8">
      <c r="A29" s="404"/>
      <c r="B29" s="136"/>
      <c r="D29" s="387" t="s">
        <v>80</v>
      </c>
    </row>
    <row r="30" spans="1:8">
      <c r="A30" s="404"/>
      <c r="B30" s="136"/>
      <c r="D30" s="387" t="s">
        <v>81</v>
      </c>
    </row>
    <row r="31" spans="1:8">
      <c r="A31" s="404"/>
      <c r="B31" s="136"/>
      <c r="D31" s="387" t="s">
        <v>82</v>
      </c>
    </row>
    <row r="32" spans="1:8">
      <c r="A32" s="404"/>
      <c r="B32" s="136"/>
      <c r="D32" s="387" t="s">
        <v>83</v>
      </c>
    </row>
    <row r="33" spans="1:4">
      <c r="A33" s="404"/>
      <c r="B33" s="136"/>
      <c r="D33" s="387" t="s">
        <v>84</v>
      </c>
    </row>
    <row r="34" spans="1:4">
      <c r="A34" s="404"/>
      <c r="B34" s="136"/>
      <c r="D34" s="387" t="s">
        <v>85</v>
      </c>
    </row>
    <row r="35" spans="1:4">
      <c r="A35" s="404"/>
      <c r="B35" s="136"/>
      <c r="D35" s="387" t="s">
        <v>86</v>
      </c>
    </row>
    <row r="36" spans="1:4">
      <c r="A36" s="404"/>
      <c r="B36" s="136"/>
      <c r="D36" s="387" t="s">
        <v>87</v>
      </c>
    </row>
    <row r="37" spans="1:4">
      <c r="D37" s="387" t="s">
        <v>88</v>
      </c>
    </row>
    <row r="38" spans="1:4" ht="15.75">
      <c r="A38" s="88"/>
      <c r="D38" s="387" t="s">
        <v>89</v>
      </c>
    </row>
    <row r="39" spans="1:4">
      <c r="A39" s="403"/>
      <c r="D39" s="387" t="s">
        <v>90</v>
      </c>
    </row>
    <row r="40" spans="1:4">
      <c r="A40" s="404"/>
      <c r="D40" s="387" t="s">
        <v>91</v>
      </c>
    </row>
    <row r="41" spans="1:4">
      <c r="A41" s="404"/>
      <c r="D41" s="387" t="s">
        <v>92</v>
      </c>
    </row>
    <row r="42" spans="1:4">
      <c r="A42" s="404"/>
      <c r="D42" s="387" t="s">
        <v>93</v>
      </c>
    </row>
    <row r="43" spans="1:4">
      <c r="A43" s="404"/>
      <c r="D43" s="387" t="s">
        <v>94</v>
      </c>
    </row>
    <row r="44" spans="1:4">
      <c r="A44" s="404"/>
      <c r="D44" s="387" t="s">
        <v>95</v>
      </c>
    </row>
    <row r="45" spans="1:4">
      <c r="A45" s="404"/>
      <c r="D45" s="387" t="s">
        <v>96</v>
      </c>
    </row>
    <row r="46" spans="1:4">
      <c r="A46" s="404"/>
      <c r="D46" s="387" t="s">
        <v>97</v>
      </c>
    </row>
    <row r="47" spans="1:4">
      <c r="A47" s="404"/>
      <c r="D47" s="387" t="s">
        <v>98</v>
      </c>
    </row>
    <row r="48" spans="1:4">
      <c r="A48" s="404"/>
      <c r="D48" s="387" t="s">
        <v>99</v>
      </c>
    </row>
    <row r="49" spans="1:4">
      <c r="A49" s="404"/>
      <c r="D49" s="387" t="s">
        <v>100</v>
      </c>
    </row>
    <row r="50" spans="1:4">
      <c r="A50" s="404"/>
      <c r="D50" s="387" t="s">
        <v>101</v>
      </c>
    </row>
    <row r="51" spans="1:4">
      <c r="A51" s="404"/>
      <c r="D51" s="387" t="s">
        <v>102</v>
      </c>
    </row>
    <row r="52" spans="1:4">
      <c r="D52" s="387" t="s">
        <v>103</v>
      </c>
    </row>
    <row r="53" spans="1:4" ht="15.75">
      <c r="A53" s="88"/>
      <c r="D53" s="387" t="s">
        <v>104</v>
      </c>
    </row>
    <row r="54" spans="1:4">
      <c r="A54" s="403"/>
      <c r="D54" s="387" t="s">
        <v>105</v>
      </c>
    </row>
    <row r="55" spans="1:4">
      <c r="A55" s="404"/>
      <c r="D55" s="387" t="s">
        <v>106</v>
      </c>
    </row>
    <row r="56" spans="1:4">
      <c r="A56" s="404"/>
      <c r="D56" s="387" t="s">
        <v>107</v>
      </c>
    </row>
    <row r="57" spans="1:4">
      <c r="A57" s="404"/>
      <c r="D57" s="387" t="s">
        <v>108</v>
      </c>
    </row>
    <row r="58" spans="1:4">
      <c r="A58" s="404"/>
      <c r="D58" s="387" t="s">
        <v>109</v>
      </c>
    </row>
    <row r="59" spans="1:4">
      <c r="A59" s="404"/>
      <c r="D59" s="387" t="s">
        <v>110</v>
      </c>
    </row>
    <row r="60" spans="1:4">
      <c r="A60" s="404"/>
      <c r="D60" s="387" t="s">
        <v>111</v>
      </c>
    </row>
    <row r="61" spans="1:4">
      <c r="A61" s="404"/>
      <c r="D61" s="387" t="s">
        <v>112</v>
      </c>
    </row>
    <row r="62" spans="1:4">
      <c r="A62" s="404"/>
      <c r="D62" s="387" t="s">
        <v>113</v>
      </c>
    </row>
    <row r="63" spans="1:4">
      <c r="A63" s="404"/>
      <c r="D63" s="387" t="s">
        <v>114</v>
      </c>
    </row>
    <row r="64" spans="1:4">
      <c r="A64" s="404"/>
      <c r="D64" s="387" t="s">
        <v>115</v>
      </c>
    </row>
    <row r="65" spans="1:4">
      <c r="A65" s="404"/>
      <c r="D65" s="387" t="s">
        <v>116</v>
      </c>
    </row>
    <row r="66" spans="1:4">
      <c r="A66" s="404"/>
      <c r="D66" s="387" t="s">
        <v>117</v>
      </c>
    </row>
    <row r="67" spans="1:4">
      <c r="D67" s="387" t="s">
        <v>118</v>
      </c>
    </row>
    <row r="68" spans="1:4">
      <c r="D68" s="387" t="s">
        <v>119</v>
      </c>
    </row>
    <row r="69" spans="1:4">
      <c r="D69" s="388" t="s">
        <v>120</v>
      </c>
    </row>
  </sheetData>
  <mergeCells count="2">
    <mergeCell ref="B2:C2"/>
    <mergeCell ref="F11:H11"/>
  </mergeCells>
  <phoneticPr fontId="22"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5">
    <tabColor rgb="FF00B0F0"/>
    <pageSetUpPr fitToPage="1"/>
  </sheetPr>
  <dimension ref="A1:A56"/>
  <sheetViews>
    <sheetView zoomScaleNormal="100" workbookViewId="0"/>
  </sheetViews>
  <sheetFormatPr defaultColWidth="9" defaultRowHeight="12.75"/>
  <cols>
    <col min="1" max="7" width="9" style="17"/>
    <col min="8" max="8" width="9" style="17" customWidth="1"/>
    <col min="9" max="16384" width="9" style="17"/>
  </cols>
  <sheetData>
    <row r="1" ht="12.75" customHeight="1"/>
    <row r="2" ht="12.75" customHeight="1"/>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sheetData>
  <sheetProtection algorithmName="SHA-512" hashValue="O+lFce41EoJo3IsjHhHwormk8OShT7+VOp8T60y97wfsi/BQL/kvM+j+QS6se+GyIJdcpcEB8LRCfBqb5UtUbA==" saltValue="3TxmQxsl0p3hhMLrynirNw==" spinCount="100000" sheet="1" selectLockedCells="1"/>
  <pageMargins left="0.70866141732283472" right="0.70866141732283472" top="0.74803149606299213" bottom="0.74803149606299213" header="0.31496062992125984" footer="0.31496062992125984"/>
  <pageSetup paperSize="9" scale="82" orientation="portrait" verticalDpi="1200" r:id="rId1"/>
  <headerFooter>
    <oddFooter>&amp;C&amp;A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87DCB-EDE4-4A9E-828E-5C82A83D8EF2}">
  <sheetPr>
    <tabColor rgb="FF00B0F0"/>
    <pageSetUpPr fitToPage="1"/>
  </sheetPr>
  <dimension ref="A8:V87"/>
  <sheetViews>
    <sheetView showGridLines="0" zoomScaleNormal="100" zoomScaleSheetLayoutView="100" workbookViewId="0">
      <selection activeCell="A87" sqref="A87"/>
    </sheetView>
  </sheetViews>
  <sheetFormatPr defaultColWidth="8.875" defaultRowHeight="12.75"/>
  <cols>
    <col min="1" max="1" width="4.625" style="182" customWidth="1"/>
    <col min="2" max="2" width="3.625" style="182" customWidth="1"/>
    <col min="3" max="3" width="90.875" style="182" customWidth="1"/>
    <col min="4" max="9" width="8.625" style="182" customWidth="1"/>
    <col min="10" max="10" width="12.125" style="182" customWidth="1"/>
    <col min="11" max="14" width="8.625" style="182" customWidth="1"/>
    <col min="15" max="15" width="2.5" style="181" customWidth="1"/>
    <col min="16" max="22" width="9" style="181"/>
    <col min="23" max="238" width="9" style="182"/>
    <col min="239" max="239" width="7.625" style="182" customWidth="1"/>
    <col min="240" max="240" width="6.625" style="182" customWidth="1"/>
    <col min="241" max="241" width="5.625" style="182" customWidth="1"/>
    <col min="242" max="244" width="9" style="182"/>
    <col min="245" max="245" width="8" style="182" customWidth="1"/>
    <col min="246" max="254" width="9" style="182"/>
    <col min="255" max="255" width="15" style="182" customWidth="1"/>
    <col min="256" max="256" width="7.5" style="182" customWidth="1"/>
    <col min="257" max="494" width="9" style="182"/>
    <col min="495" max="495" width="7.625" style="182" customWidth="1"/>
    <col min="496" max="496" width="6.625" style="182" customWidth="1"/>
    <col min="497" max="497" width="5.625" style="182" customWidth="1"/>
    <col min="498" max="500" width="9" style="182"/>
    <col min="501" max="501" width="8" style="182" customWidth="1"/>
    <col min="502" max="510" width="9" style="182"/>
    <col min="511" max="511" width="15" style="182" customWidth="1"/>
    <col min="512" max="512" width="7.5" style="182" customWidth="1"/>
    <col min="513" max="750" width="9" style="182"/>
    <col min="751" max="751" width="7.625" style="182" customWidth="1"/>
    <col min="752" max="752" width="6.625" style="182" customWidth="1"/>
    <col min="753" max="753" width="5.625" style="182" customWidth="1"/>
    <col min="754" max="756" width="9" style="182"/>
    <col min="757" max="757" width="8" style="182" customWidth="1"/>
    <col min="758" max="766" width="9" style="182"/>
    <col min="767" max="767" width="15" style="182" customWidth="1"/>
    <col min="768" max="768" width="7.5" style="182" customWidth="1"/>
    <col min="769" max="1006" width="9" style="182"/>
    <col min="1007" max="1007" width="7.625" style="182" customWidth="1"/>
    <col min="1008" max="1008" width="6.625" style="182" customWidth="1"/>
    <col min="1009" max="1009" width="5.625" style="182" customWidth="1"/>
    <col min="1010" max="1012" width="9" style="182"/>
    <col min="1013" max="1013" width="8" style="182" customWidth="1"/>
    <col min="1014" max="1022" width="9" style="182"/>
    <col min="1023" max="1023" width="15" style="182" customWidth="1"/>
    <col min="1024" max="1024" width="7.5" style="182" customWidth="1"/>
    <col min="1025" max="1262" width="9" style="182"/>
    <col min="1263" max="1263" width="7.625" style="182" customWidth="1"/>
    <col min="1264" max="1264" width="6.625" style="182" customWidth="1"/>
    <col min="1265" max="1265" width="5.625" style="182" customWidth="1"/>
    <col min="1266" max="1268" width="9" style="182"/>
    <col min="1269" max="1269" width="8" style="182" customWidth="1"/>
    <col min="1270" max="1278" width="9" style="182"/>
    <col min="1279" max="1279" width="15" style="182" customWidth="1"/>
    <col min="1280" max="1280" width="7.5" style="182" customWidth="1"/>
    <col min="1281" max="1518" width="9" style="182"/>
    <col min="1519" max="1519" width="7.625" style="182" customWidth="1"/>
    <col min="1520" max="1520" width="6.625" style="182" customWidth="1"/>
    <col min="1521" max="1521" width="5.625" style="182" customWidth="1"/>
    <col min="1522" max="1524" width="9" style="182"/>
    <col min="1525" max="1525" width="8" style="182" customWidth="1"/>
    <col min="1526" max="1534" width="9" style="182"/>
    <col min="1535" max="1535" width="15" style="182" customWidth="1"/>
    <col min="1536" max="1536" width="7.5" style="182" customWidth="1"/>
    <col min="1537" max="1774" width="9" style="182"/>
    <col min="1775" max="1775" width="7.625" style="182" customWidth="1"/>
    <col min="1776" max="1776" width="6.625" style="182" customWidth="1"/>
    <col min="1777" max="1777" width="5.625" style="182" customWidth="1"/>
    <col min="1778" max="1780" width="9" style="182"/>
    <col min="1781" max="1781" width="8" style="182" customWidth="1"/>
    <col min="1782" max="1790" width="9" style="182"/>
    <col min="1791" max="1791" width="15" style="182" customWidth="1"/>
    <col min="1792" max="1792" width="7.5" style="182" customWidth="1"/>
    <col min="1793" max="2030" width="9" style="182"/>
    <col min="2031" max="2031" width="7.625" style="182" customWidth="1"/>
    <col min="2032" max="2032" width="6.625" style="182" customWidth="1"/>
    <col min="2033" max="2033" width="5.625" style="182" customWidth="1"/>
    <col min="2034" max="2036" width="9" style="182"/>
    <col min="2037" max="2037" width="8" style="182" customWidth="1"/>
    <col min="2038" max="2046" width="9" style="182"/>
    <col min="2047" max="2047" width="15" style="182" customWidth="1"/>
    <col min="2048" max="2048" width="7.5" style="182" customWidth="1"/>
    <col min="2049" max="2286" width="9" style="182"/>
    <col min="2287" max="2287" width="7.625" style="182" customWidth="1"/>
    <col min="2288" max="2288" width="6.625" style="182" customWidth="1"/>
    <col min="2289" max="2289" width="5.625" style="182" customWidth="1"/>
    <col min="2290" max="2292" width="9" style="182"/>
    <col min="2293" max="2293" width="8" style="182" customWidth="1"/>
    <col min="2294" max="2302" width="9" style="182"/>
    <col min="2303" max="2303" width="15" style="182" customWidth="1"/>
    <col min="2304" max="2304" width="7.5" style="182" customWidth="1"/>
    <col min="2305" max="2542" width="9" style="182"/>
    <col min="2543" max="2543" width="7.625" style="182" customWidth="1"/>
    <col min="2544" max="2544" width="6.625" style="182" customWidth="1"/>
    <col min="2545" max="2545" width="5.625" style="182" customWidth="1"/>
    <col min="2546" max="2548" width="9" style="182"/>
    <col min="2549" max="2549" width="8" style="182" customWidth="1"/>
    <col min="2550" max="2558" width="9" style="182"/>
    <col min="2559" max="2559" width="15" style="182" customWidth="1"/>
    <col min="2560" max="2560" width="7.5" style="182" customWidth="1"/>
    <col min="2561" max="2798" width="9" style="182"/>
    <col min="2799" max="2799" width="7.625" style="182" customWidth="1"/>
    <col min="2800" max="2800" width="6.625" style="182" customWidth="1"/>
    <col min="2801" max="2801" width="5.625" style="182" customWidth="1"/>
    <col min="2802" max="2804" width="9" style="182"/>
    <col min="2805" max="2805" width="8" style="182" customWidth="1"/>
    <col min="2806" max="2814" width="9" style="182"/>
    <col min="2815" max="2815" width="15" style="182" customWidth="1"/>
    <col min="2816" max="2816" width="7.5" style="182" customWidth="1"/>
    <col min="2817" max="3054" width="9" style="182"/>
    <col min="3055" max="3055" width="7.625" style="182" customWidth="1"/>
    <col min="3056" max="3056" width="6.625" style="182" customWidth="1"/>
    <col min="3057" max="3057" width="5.625" style="182" customWidth="1"/>
    <col min="3058" max="3060" width="9" style="182"/>
    <col min="3061" max="3061" width="8" style="182" customWidth="1"/>
    <col min="3062" max="3070" width="9" style="182"/>
    <col min="3071" max="3071" width="15" style="182" customWidth="1"/>
    <col min="3072" max="3072" width="7.5" style="182" customWidth="1"/>
    <col min="3073" max="3310" width="9" style="182"/>
    <col min="3311" max="3311" width="7.625" style="182" customWidth="1"/>
    <col min="3312" max="3312" width="6.625" style="182" customWidth="1"/>
    <col min="3313" max="3313" width="5.625" style="182" customWidth="1"/>
    <col min="3314" max="3316" width="9" style="182"/>
    <col min="3317" max="3317" width="8" style="182" customWidth="1"/>
    <col min="3318" max="3326" width="9" style="182"/>
    <col min="3327" max="3327" width="15" style="182" customWidth="1"/>
    <col min="3328" max="3328" width="7.5" style="182" customWidth="1"/>
    <col min="3329" max="3566" width="9" style="182"/>
    <col min="3567" max="3567" width="7.625" style="182" customWidth="1"/>
    <col min="3568" max="3568" width="6.625" style="182" customWidth="1"/>
    <col min="3569" max="3569" width="5.625" style="182" customWidth="1"/>
    <col min="3570" max="3572" width="9" style="182"/>
    <col min="3573" max="3573" width="8" style="182" customWidth="1"/>
    <col min="3574" max="3582" width="9" style="182"/>
    <col min="3583" max="3583" width="15" style="182" customWidth="1"/>
    <col min="3584" max="3584" width="7.5" style="182" customWidth="1"/>
    <col min="3585" max="3822" width="9" style="182"/>
    <col min="3823" max="3823" width="7.625" style="182" customWidth="1"/>
    <col min="3824" max="3824" width="6.625" style="182" customWidth="1"/>
    <col min="3825" max="3825" width="5.625" style="182" customWidth="1"/>
    <col min="3826" max="3828" width="9" style="182"/>
    <col min="3829" max="3829" width="8" style="182" customWidth="1"/>
    <col min="3830" max="3838" width="9" style="182"/>
    <col min="3839" max="3839" width="15" style="182" customWidth="1"/>
    <col min="3840" max="3840" width="7.5" style="182" customWidth="1"/>
    <col min="3841" max="4078" width="9" style="182"/>
    <col min="4079" max="4079" width="7.625" style="182" customWidth="1"/>
    <col min="4080" max="4080" width="6.625" style="182" customWidth="1"/>
    <col min="4081" max="4081" width="5.625" style="182" customWidth="1"/>
    <col min="4082" max="4084" width="9" style="182"/>
    <col min="4085" max="4085" width="8" style="182" customWidth="1"/>
    <col min="4086" max="4094" width="9" style="182"/>
    <col min="4095" max="4095" width="15" style="182" customWidth="1"/>
    <col min="4096" max="4096" width="7.5" style="182" customWidth="1"/>
    <col min="4097" max="4334" width="9" style="182"/>
    <col min="4335" max="4335" width="7.625" style="182" customWidth="1"/>
    <col min="4336" max="4336" width="6.625" style="182" customWidth="1"/>
    <col min="4337" max="4337" width="5.625" style="182" customWidth="1"/>
    <col min="4338" max="4340" width="9" style="182"/>
    <col min="4341" max="4341" width="8" style="182" customWidth="1"/>
    <col min="4342" max="4350" width="9" style="182"/>
    <col min="4351" max="4351" width="15" style="182" customWidth="1"/>
    <col min="4352" max="4352" width="7.5" style="182" customWidth="1"/>
    <col min="4353" max="4590" width="9" style="182"/>
    <col min="4591" max="4591" width="7.625" style="182" customWidth="1"/>
    <col min="4592" max="4592" width="6.625" style="182" customWidth="1"/>
    <col min="4593" max="4593" width="5.625" style="182" customWidth="1"/>
    <col min="4594" max="4596" width="9" style="182"/>
    <col min="4597" max="4597" width="8" style="182" customWidth="1"/>
    <col min="4598" max="4606" width="9" style="182"/>
    <col min="4607" max="4607" width="15" style="182" customWidth="1"/>
    <col min="4608" max="4608" width="7.5" style="182" customWidth="1"/>
    <col min="4609" max="4846" width="9" style="182"/>
    <col min="4847" max="4847" width="7.625" style="182" customWidth="1"/>
    <col min="4848" max="4848" width="6.625" style="182" customWidth="1"/>
    <col min="4849" max="4849" width="5.625" style="182" customWidth="1"/>
    <col min="4850" max="4852" width="9" style="182"/>
    <col min="4853" max="4853" width="8" style="182" customWidth="1"/>
    <col min="4854" max="4862" width="9" style="182"/>
    <col min="4863" max="4863" width="15" style="182" customWidth="1"/>
    <col min="4864" max="4864" width="7.5" style="182" customWidth="1"/>
    <col min="4865" max="5102" width="9" style="182"/>
    <col min="5103" max="5103" width="7.625" style="182" customWidth="1"/>
    <col min="5104" max="5104" width="6.625" style="182" customWidth="1"/>
    <col min="5105" max="5105" width="5.625" style="182" customWidth="1"/>
    <col min="5106" max="5108" width="9" style="182"/>
    <col min="5109" max="5109" width="8" style="182" customWidth="1"/>
    <col min="5110" max="5118" width="9" style="182"/>
    <col min="5119" max="5119" width="15" style="182" customWidth="1"/>
    <col min="5120" max="5120" width="7.5" style="182" customWidth="1"/>
    <col min="5121" max="5358" width="9" style="182"/>
    <col min="5359" max="5359" width="7.625" style="182" customWidth="1"/>
    <col min="5360" max="5360" width="6.625" style="182" customWidth="1"/>
    <col min="5361" max="5361" width="5.625" style="182" customWidth="1"/>
    <col min="5362" max="5364" width="9" style="182"/>
    <col min="5365" max="5365" width="8" style="182" customWidth="1"/>
    <col min="5366" max="5374" width="9" style="182"/>
    <col min="5375" max="5375" width="15" style="182" customWidth="1"/>
    <col min="5376" max="5376" width="7.5" style="182" customWidth="1"/>
    <col min="5377" max="5614" width="9" style="182"/>
    <col min="5615" max="5615" width="7.625" style="182" customWidth="1"/>
    <col min="5616" max="5616" width="6.625" style="182" customWidth="1"/>
    <col min="5617" max="5617" width="5.625" style="182" customWidth="1"/>
    <col min="5618" max="5620" width="9" style="182"/>
    <col min="5621" max="5621" width="8" style="182" customWidth="1"/>
    <col min="5622" max="5630" width="9" style="182"/>
    <col min="5631" max="5631" width="15" style="182" customWidth="1"/>
    <col min="5632" max="5632" width="7.5" style="182" customWidth="1"/>
    <col min="5633" max="5870" width="9" style="182"/>
    <col min="5871" max="5871" width="7.625" style="182" customWidth="1"/>
    <col min="5872" max="5872" width="6.625" style="182" customWidth="1"/>
    <col min="5873" max="5873" width="5.625" style="182" customWidth="1"/>
    <col min="5874" max="5876" width="9" style="182"/>
    <col min="5877" max="5877" width="8" style="182" customWidth="1"/>
    <col min="5878" max="5886" width="9" style="182"/>
    <col min="5887" max="5887" width="15" style="182" customWidth="1"/>
    <col min="5888" max="5888" width="7.5" style="182" customWidth="1"/>
    <col min="5889" max="6126" width="9" style="182"/>
    <col min="6127" max="6127" width="7.625" style="182" customWidth="1"/>
    <col min="6128" max="6128" width="6.625" style="182" customWidth="1"/>
    <col min="6129" max="6129" width="5.625" style="182" customWidth="1"/>
    <col min="6130" max="6132" width="9" style="182"/>
    <col min="6133" max="6133" width="8" style="182" customWidth="1"/>
    <col min="6134" max="6142" width="9" style="182"/>
    <col min="6143" max="6143" width="15" style="182" customWidth="1"/>
    <col min="6144" max="6144" width="7.5" style="182" customWidth="1"/>
    <col min="6145" max="6382" width="9" style="182"/>
    <col min="6383" max="6383" width="7.625" style="182" customWidth="1"/>
    <col min="6384" max="6384" width="6.625" style="182" customWidth="1"/>
    <col min="6385" max="6385" width="5.625" style="182" customWidth="1"/>
    <col min="6386" max="6388" width="9" style="182"/>
    <col min="6389" max="6389" width="8" style="182" customWidth="1"/>
    <col min="6390" max="6398" width="9" style="182"/>
    <col min="6399" max="6399" width="15" style="182" customWidth="1"/>
    <col min="6400" max="6400" width="7.5" style="182" customWidth="1"/>
    <col min="6401" max="6638" width="9" style="182"/>
    <col min="6639" max="6639" width="7.625" style="182" customWidth="1"/>
    <col min="6640" max="6640" width="6.625" style="182" customWidth="1"/>
    <col min="6641" max="6641" width="5.625" style="182" customWidth="1"/>
    <col min="6642" max="6644" width="9" style="182"/>
    <col min="6645" max="6645" width="8" style="182" customWidth="1"/>
    <col min="6646" max="6654" width="9" style="182"/>
    <col min="6655" max="6655" width="15" style="182" customWidth="1"/>
    <col min="6656" max="6656" width="7.5" style="182" customWidth="1"/>
    <col min="6657" max="6894" width="9" style="182"/>
    <col min="6895" max="6895" width="7.625" style="182" customWidth="1"/>
    <col min="6896" max="6896" width="6.625" style="182" customWidth="1"/>
    <col min="6897" max="6897" width="5.625" style="182" customWidth="1"/>
    <col min="6898" max="6900" width="9" style="182"/>
    <col min="6901" max="6901" width="8" style="182" customWidth="1"/>
    <col min="6902" max="6910" width="9" style="182"/>
    <col min="6911" max="6911" width="15" style="182" customWidth="1"/>
    <col min="6912" max="6912" width="7.5" style="182" customWidth="1"/>
    <col min="6913" max="7150" width="9" style="182"/>
    <col min="7151" max="7151" width="7.625" style="182" customWidth="1"/>
    <col min="7152" max="7152" width="6.625" style="182" customWidth="1"/>
    <col min="7153" max="7153" width="5.625" style="182" customWidth="1"/>
    <col min="7154" max="7156" width="9" style="182"/>
    <col min="7157" max="7157" width="8" style="182" customWidth="1"/>
    <col min="7158" max="7166" width="9" style="182"/>
    <col min="7167" max="7167" width="15" style="182" customWidth="1"/>
    <col min="7168" max="7168" width="7.5" style="182" customWidth="1"/>
    <col min="7169" max="7406" width="9" style="182"/>
    <col min="7407" max="7407" width="7.625" style="182" customWidth="1"/>
    <col min="7408" max="7408" width="6.625" style="182" customWidth="1"/>
    <col min="7409" max="7409" width="5.625" style="182" customWidth="1"/>
    <col min="7410" max="7412" width="9" style="182"/>
    <col min="7413" max="7413" width="8" style="182" customWidth="1"/>
    <col min="7414" max="7422" width="9" style="182"/>
    <col min="7423" max="7423" width="15" style="182" customWidth="1"/>
    <col min="7424" max="7424" width="7.5" style="182" customWidth="1"/>
    <col min="7425" max="7662" width="9" style="182"/>
    <col min="7663" max="7663" width="7.625" style="182" customWidth="1"/>
    <col min="7664" max="7664" width="6.625" style="182" customWidth="1"/>
    <col min="7665" max="7665" width="5.625" style="182" customWidth="1"/>
    <col min="7666" max="7668" width="9" style="182"/>
    <col min="7669" max="7669" width="8" style="182" customWidth="1"/>
    <col min="7670" max="7678" width="9" style="182"/>
    <col min="7679" max="7679" width="15" style="182" customWidth="1"/>
    <col min="7680" max="7680" width="7.5" style="182" customWidth="1"/>
    <col min="7681" max="7918" width="9" style="182"/>
    <col min="7919" max="7919" width="7.625" style="182" customWidth="1"/>
    <col min="7920" max="7920" width="6.625" style="182" customWidth="1"/>
    <col min="7921" max="7921" width="5.625" style="182" customWidth="1"/>
    <col min="7922" max="7924" width="9" style="182"/>
    <col min="7925" max="7925" width="8" style="182" customWidth="1"/>
    <col min="7926" max="7934" width="9" style="182"/>
    <col min="7935" max="7935" width="15" style="182" customWidth="1"/>
    <col min="7936" max="7936" width="7.5" style="182" customWidth="1"/>
    <col min="7937" max="8174" width="9" style="182"/>
    <col min="8175" max="8175" width="7.625" style="182" customWidth="1"/>
    <col min="8176" max="8176" width="6.625" style="182" customWidth="1"/>
    <col min="8177" max="8177" width="5.625" style="182" customWidth="1"/>
    <col min="8178" max="8180" width="9" style="182"/>
    <col min="8181" max="8181" width="8" style="182" customWidth="1"/>
    <col min="8182" max="8190" width="9" style="182"/>
    <col min="8191" max="8191" width="15" style="182" customWidth="1"/>
    <col min="8192" max="8192" width="7.5" style="182" customWidth="1"/>
    <col min="8193" max="8430" width="9" style="182"/>
    <col min="8431" max="8431" width="7.625" style="182" customWidth="1"/>
    <col min="8432" max="8432" width="6.625" style="182" customWidth="1"/>
    <col min="8433" max="8433" width="5.625" style="182" customWidth="1"/>
    <col min="8434" max="8436" width="9" style="182"/>
    <col min="8437" max="8437" width="8" style="182" customWidth="1"/>
    <col min="8438" max="8446" width="9" style="182"/>
    <col min="8447" max="8447" width="15" style="182" customWidth="1"/>
    <col min="8448" max="8448" width="7.5" style="182" customWidth="1"/>
    <col min="8449" max="8686" width="9" style="182"/>
    <col min="8687" max="8687" width="7.625" style="182" customWidth="1"/>
    <col min="8688" max="8688" width="6.625" style="182" customWidth="1"/>
    <col min="8689" max="8689" width="5.625" style="182" customWidth="1"/>
    <col min="8690" max="8692" width="9" style="182"/>
    <col min="8693" max="8693" width="8" style="182" customWidth="1"/>
    <col min="8694" max="8702" width="9" style="182"/>
    <col min="8703" max="8703" width="15" style="182" customWidth="1"/>
    <col min="8704" max="8704" width="7.5" style="182" customWidth="1"/>
    <col min="8705" max="8942" width="9" style="182"/>
    <col min="8943" max="8943" width="7.625" style="182" customWidth="1"/>
    <col min="8944" max="8944" width="6.625" style="182" customWidth="1"/>
    <col min="8945" max="8945" width="5.625" style="182" customWidth="1"/>
    <col min="8946" max="8948" width="9" style="182"/>
    <col min="8949" max="8949" width="8" style="182" customWidth="1"/>
    <col min="8950" max="8958" width="9" style="182"/>
    <col min="8959" max="8959" width="15" style="182" customWidth="1"/>
    <col min="8960" max="8960" width="7.5" style="182" customWidth="1"/>
    <col min="8961" max="9198" width="9" style="182"/>
    <col min="9199" max="9199" width="7.625" style="182" customWidth="1"/>
    <col min="9200" max="9200" width="6.625" style="182" customWidth="1"/>
    <col min="9201" max="9201" width="5.625" style="182" customWidth="1"/>
    <col min="9202" max="9204" width="9" style="182"/>
    <col min="9205" max="9205" width="8" style="182" customWidth="1"/>
    <col min="9206" max="9214" width="9" style="182"/>
    <col min="9215" max="9215" width="15" style="182" customWidth="1"/>
    <col min="9216" max="9216" width="7.5" style="182" customWidth="1"/>
    <col min="9217" max="9454" width="9" style="182"/>
    <col min="9455" max="9455" width="7.625" style="182" customWidth="1"/>
    <col min="9456" max="9456" width="6.625" style="182" customWidth="1"/>
    <col min="9457" max="9457" width="5.625" style="182" customWidth="1"/>
    <col min="9458" max="9460" width="9" style="182"/>
    <col min="9461" max="9461" width="8" style="182" customWidth="1"/>
    <col min="9462" max="9470" width="9" style="182"/>
    <col min="9471" max="9471" width="15" style="182" customWidth="1"/>
    <col min="9472" max="9472" width="7.5" style="182" customWidth="1"/>
    <col min="9473" max="9710" width="9" style="182"/>
    <col min="9711" max="9711" width="7.625" style="182" customWidth="1"/>
    <col min="9712" max="9712" width="6.625" style="182" customWidth="1"/>
    <col min="9713" max="9713" width="5.625" style="182" customWidth="1"/>
    <col min="9714" max="9716" width="9" style="182"/>
    <col min="9717" max="9717" width="8" style="182" customWidth="1"/>
    <col min="9718" max="9726" width="9" style="182"/>
    <col min="9727" max="9727" width="15" style="182" customWidth="1"/>
    <col min="9728" max="9728" width="7.5" style="182" customWidth="1"/>
    <col min="9729" max="9966" width="9" style="182"/>
    <col min="9967" max="9967" width="7.625" style="182" customWidth="1"/>
    <col min="9968" max="9968" width="6.625" style="182" customWidth="1"/>
    <col min="9969" max="9969" width="5.625" style="182" customWidth="1"/>
    <col min="9970" max="9972" width="9" style="182"/>
    <col min="9973" max="9973" width="8" style="182" customWidth="1"/>
    <col min="9974" max="9982" width="9" style="182"/>
    <col min="9983" max="9983" width="15" style="182" customWidth="1"/>
    <col min="9984" max="9984" width="7.5" style="182" customWidth="1"/>
    <col min="9985" max="10222" width="9" style="182"/>
    <col min="10223" max="10223" width="7.625" style="182" customWidth="1"/>
    <col min="10224" max="10224" width="6.625" style="182" customWidth="1"/>
    <col min="10225" max="10225" width="5.625" style="182" customWidth="1"/>
    <col min="10226" max="10228" width="9" style="182"/>
    <col min="10229" max="10229" width="8" style="182" customWidth="1"/>
    <col min="10230" max="10238" width="9" style="182"/>
    <col min="10239" max="10239" width="15" style="182" customWidth="1"/>
    <col min="10240" max="10240" width="7.5" style="182" customWidth="1"/>
    <col min="10241" max="10478" width="9" style="182"/>
    <col min="10479" max="10479" width="7.625" style="182" customWidth="1"/>
    <col min="10480" max="10480" width="6.625" style="182" customWidth="1"/>
    <col min="10481" max="10481" width="5.625" style="182" customWidth="1"/>
    <col min="10482" max="10484" width="9" style="182"/>
    <col min="10485" max="10485" width="8" style="182" customWidth="1"/>
    <col min="10486" max="10494" width="9" style="182"/>
    <col min="10495" max="10495" width="15" style="182" customWidth="1"/>
    <col min="10496" max="10496" width="7.5" style="182" customWidth="1"/>
    <col min="10497" max="10734" width="9" style="182"/>
    <col min="10735" max="10735" width="7.625" style="182" customWidth="1"/>
    <col min="10736" max="10736" width="6.625" style="182" customWidth="1"/>
    <col min="10737" max="10737" width="5.625" style="182" customWidth="1"/>
    <col min="10738" max="10740" width="9" style="182"/>
    <col min="10741" max="10741" width="8" style="182" customWidth="1"/>
    <col min="10742" max="10750" width="9" style="182"/>
    <col min="10751" max="10751" width="15" style="182" customWidth="1"/>
    <col min="10752" max="10752" width="7.5" style="182" customWidth="1"/>
    <col min="10753" max="10990" width="9" style="182"/>
    <col min="10991" max="10991" width="7.625" style="182" customWidth="1"/>
    <col min="10992" max="10992" width="6.625" style="182" customWidth="1"/>
    <col min="10993" max="10993" width="5.625" style="182" customWidth="1"/>
    <col min="10994" max="10996" width="9" style="182"/>
    <col min="10997" max="10997" width="8" style="182" customWidth="1"/>
    <col min="10998" max="11006" width="9" style="182"/>
    <col min="11007" max="11007" width="15" style="182" customWidth="1"/>
    <col min="11008" max="11008" width="7.5" style="182" customWidth="1"/>
    <col min="11009" max="11246" width="9" style="182"/>
    <col min="11247" max="11247" width="7.625" style="182" customWidth="1"/>
    <col min="11248" max="11248" width="6.625" style="182" customWidth="1"/>
    <col min="11249" max="11249" width="5.625" style="182" customWidth="1"/>
    <col min="11250" max="11252" width="9" style="182"/>
    <col min="11253" max="11253" width="8" style="182" customWidth="1"/>
    <col min="11254" max="11262" width="9" style="182"/>
    <col min="11263" max="11263" width="15" style="182" customWidth="1"/>
    <col min="11264" max="11264" width="7.5" style="182" customWidth="1"/>
    <col min="11265" max="11502" width="9" style="182"/>
    <col min="11503" max="11503" width="7.625" style="182" customWidth="1"/>
    <col min="11504" max="11504" width="6.625" style="182" customWidth="1"/>
    <col min="11505" max="11505" width="5.625" style="182" customWidth="1"/>
    <col min="11506" max="11508" width="9" style="182"/>
    <col min="11509" max="11509" width="8" style="182" customWidth="1"/>
    <col min="11510" max="11518" width="9" style="182"/>
    <col min="11519" max="11519" width="15" style="182" customWidth="1"/>
    <col min="11520" max="11520" width="7.5" style="182" customWidth="1"/>
    <col min="11521" max="11758" width="9" style="182"/>
    <col min="11759" max="11759" width="7.625" style="182" customWidth="1"/>
    <col min="11760" max="11760" width="6.625" style="182" customWidth="1"/>
    <col min="11761" max="11761" width="5.625" style="182" customWidth="1"/>
    <col min="11762" max="11764" width="9" style="182"/>
    <col min="11765" max="11765" width="8" style="182" customWidth="1"/>
    <col min="11766" max="11774" width="9" style="182"/>
    <col min="11775" max="11775" width="15" style="182" customWidth="1"/>
    <col min="11776" max="11776" width="7.5" style="182" customWidth="1"/>
    <col min="11777" max="12014" width="9" style="182"/>
    <col min="12015" max="12015" width="7.625" style="182" customWidth="1"/>
    <col min="12016" max="12016" width="6.625" style="182" customWidth="1"/>
    <col min="12017" max="12017" width="5.625" style="182" customWidth="1"/>
    <col min="12018" max="12020" width="9" style="182"/>
    <col min="12021" max="12021" width="8" style="182" customWidth="1"/>
    <col min="12022" max="12030" width="9" style="182"/>
    <col min="12031" max="12031" width="15" style="182" customWidth="1"/>
    <col min="12032" max="12032" width="7.5" style="182" customWidth="1"/>
    <col min="12033" max="12270" width="9" style="182"/>
    <col min="12271" max="12271" width="7.625" style="182" customWidth="1"/>
    <col min="12272" max="12272" width="6.625" style="182" customWidth="1"/>
    <col min="12273" max="12273" width="5.625" style="182" customWidth="1"/>
    <col min="12274" max="12276" width="9" style="182"/>
    <col min="12277" max="12277" width="8" style="182" customWidth="1"/>
    <col min="12278" max="12286" width="9" style="182"/>
    <col min="12287" max="12287" width="15" style="182" customWidth="1"/>
    <col min="12288" max="12288" width="7.5" style="182" customWidth="1"/>
    <col min="12289" max="12526" width="9" style="182"/>
    <col min="12527" max="12527" width="7.625" style="182" customWidth="1"/>
    <col min="12528" max="12528" width="6.625" style="182" customWidth="1"/>
    <col min="12529" max="12529" width="5.625" style="182" customWidth="1"/>
    <col min="12530" max="12532" width="9" style="182"/>
    <col min="12533" max="12533" width="8" style="182" customWidth="1"/>
    <col min="12534" max="12542" width="9" style="182"/>
    <col min="12543" max="12543" width="15" style="182" customWidth="1"/>
    <col min="12544" max="12544" width="7.5" style="182" customWidth="1"/>
    <col min="12545" max="12782" width="9" style="182"/>
    <col min="12783" max="12783" width="7.625" style="182" customWidth="1"/>
    <col min="12784" max="12784" width="6.625" style="182" customWidth="1"/>
    <col min="12785" max="12785" width="5.625" style="182" customWidth="1"/>
    <col min="12786" max="12788" width="9" style="182"/>
    <col min="12789" max="12789" width="8" style="182" customWidth="1"/>
    <col min="12790" max="12798" width="9" style="182"/>
    <col min="12799" max="12799" width="15" style="182" customWidth="1"/>
    <col min="12800" max="12800" width="7.5" style="182" customWidth="1"/>
    <col min="12801" max="13038" width="9" style="182"/>
    <col min="13039" max="13039" width="7.625" style="182" customWidth="1"/>
    <col min="13040" max="13040" width="6.625" style="182" customWidth="1"/>
    <col min="13041" max="13041" width="5.625" style="182" customWidth="1"/>
    <col min="13042" max="13044" width="9" style="182"/>
    <col min="13045" max="13045" width="8" style="182" customWidth="1"/>
    <col min="13046" max="13054" width="9" style="182"/>
    <col min="13055" max="13055" width="15" style="182" customWidth="1"/>
    <col min="13056" max="13056" width="7.5" style="182" customWidth="1"/>
    <col min="13057" max="13294" width="9" style="182"/>
    <col min="13295" max="13295" width="7.625" style="182" customWidth="1"/>
    <col min="13296" max="13296" width="6.625" style="182" customWidth="1"/>
    <col min="13297" max="13297" width="5.625" style="182" customWidth="1"/>
    <col min="13298" max="13300" width="9" style="182"/>
    <col min="13301" max="13301" width="8" style="182" customWidth="1"/>
    <col min="13302" max="13310" width="9" style="182"/>
    <col min="13311" max="13311" width="15" style="182" customWidth="1"/>
    <col min="13312" max="13312" width="7.5" style="182" customWidth="1"/>
    <col min="13313" max="13550" width="9" style="182"/>
    <col min="13551" max="13551" width="7.625" style="182" customWidth="1"/>
    <col min="13552" max="13552" width="6.625" style="182" customWidth="1"/>
    <col min="13553" max="13553" width="5.625" style="182" customWidth="1"/>
    <col min="13554" max="13556" width="9" style="182"/>
    <col min="13557" max="13557" width="8" style="182" customWidth="1"/>
    <col min="13558" max="13566" width="9" style="182"/>
    <col min="13567" max="13567" width="15" style="182" customWidth="1"/>
    <col min="13568" max="13568" width="7.5" style="182" customWidth="1"/>
    <col min="13569" max="13806" width="9" style="182"/>
    <col min="13807" max="13807" width="7.625" style="182" customWidth="1"/>
    <col min="13808" max="13808" width="6.625" style="182" customWidth="1"/>
    <col min="13809" max="13809" width="5.625" style="182" customWidth="1"/>
    <col min="13810" max="13812" width="9" style="182"/>
    <col min="13813" max="13813" width="8" style="182" customWidth="1"/>
    <col min="13814" max="13822" width="9" style="182"/>
    <col min="13823" max="13823" width="15" style="182" customWidth="1"/>
    <col min="13824" max="13824" width="7.5" style="182" customWidth="1"/>
    <col min="13825" max="14062" width="9" style="182"/>
    <col min="14063" max="14063" width="7.625" style="182" customWidth="1"/>
    <col min="14064" max="14064" width="6.625" style="182" customWidth="1"/>
    <col min="14065" max="14065" width="5.625" style="182" customWidth="1"/>
    <col min="14066" max="14068" width="9" style="182"/>
    <col min="14069" max="14069" width="8" style="182" customWidth="1"/>
    <col min="14070" max="14078" width="9" style="182"/>
    <col min="14079" max="14079" width="15" style="182" customWidth="1"/>
    <col min="14080" max="14080" width="7.5" style="182" customWidth="1"/>
    <col min="14081" max="14318" width="9" style="182"/>
    <col min="14319" max="14319" width="7.625" style="182" customWidth="1"/>
    <col min="14320" max="14320" width="6.625" style="182" customWidth="1"/>
    <col min="14321" max="14321" width="5.625" style="182" customWidth="1"/>
    <col min="14322" max="14324" width="9" style="182"/>
    <col min="14325" max="14325" width="8" style="182" customWidth="1"/>
    <col min="14326" max="14334" width="9" style="182"/>
    <col min="14335" max="14335" width="15" style="182" customWidth="1"/>
    <col min="14336" max="14336" width="7.5" style="182" customWidth="1"/>
    <col min="14337" max="14574" width="9" style="182"/>
    <col min="14575" max="14575" width="7.625" style="182" customWidth="1"/>
    <col min="14576" max="14576" width="6.625" style="182" customWidth="1"/>
    <col min="14577" max="14577" width="5.625" style="182" customWidth="1"/>
    <col min="14578" max="14580" width="9" style="182"/>
    <col min="14581" max="14581" width="8" style="182" customWidth="1"/>
    <col min="14582" max="14590" width="9" style="182"/>
    <col min="14591" max="14591" width="15" style="182" customWidth="1"/>
    <col min="14592" max="14592" width="7.5" style="182" customWidth="1"/>
    <col min="14593" max="14830" width="9" style="182"/>
    <col min="14831" max="14831" width="7.625" style="182" customWidth="1"/>
    <col min="14832" max="14832" width="6.625" style="182" customWidth="1"/>
    <col min="14833" max="14833" width="5.625" style="182" customWidth="1"/>
    <col min="14834" max="14836" width="9" style="182"/>
    <col min="14837" max="14837" width="8" style="182" customWidth="1"/>
    <col min="14838" max="14846" width="9" style="182"/>
    <col min="14847" max="14847" width="15" style="182" customWidth="1"/>
    <col min="14848" max="14848" width="7.5" style="182" customWidth="1"/>
    <col min="14849" max="15086" width="9" style="182"/>
    <col min="15087" max="15087" width="7.625" style="182" customWidth="1"/>
    <col min="15088" max="15088" width="6.625" style="182" customWidth="1"/>
    <col min="15089" max="15089" width="5.625" style="182" customWidth="1"/>
    <col min="15090" max="15092" width="9" style="182"/>
    <col min="15093" max="15093" width="8" style="182" customWidth="1"/>
    <col min="15094" max="15102" width="9" style="182"/>
    <col min="15103" max="15103" width="15" style="182" customWidth="1"/>
    <col min="15104" max="15104" width="7.5" style="182" customWidth="1"/>
    <col min="15105" max="15342" width="9" style="182"/>
    <col min="15343" max="15343" width="7.625" style="182" customWidth="1"/>
    <col min="15344" max="15344" width="6.625" style="182" customWidth="1"/>
    <col min="15345" max="15345" width="5.625" style="182" customWidth="1"/>
    <col min="15346" max="15348" width="9" style="182"/>
    <col min="15349" max="15349" width="8" style="182" customWidth="1"/>
    <col min="15350" max="15358" width="9" style="182"/>
    <col min="15359" max="15359" width="15" style="182" customWidth="1"/>
    <col min="15360" max="15360" width="7.5" style="182" customWidth="1"/>
    <col min="15361" max="15598" width="9" style="182"/>
    <col min="15599" max="15599" width="7.625" style="182" customWidth="1"/>
    <col min="15600" max="15600" width="6.625" style="182" customWidth="1"/>
    <col min="15601" max="15601" width="5.625" style="182" customWidth="1"/>
    <col min="15602" max="15604" width="9" style="182"/>
    <col min="15605" max="15605" width="8" style="182" customWidth="1"/>
    <col min="15606" max="15614" width="9" style="182"/>
    <col min="15615" max="15615" width="15" style="182" customWidth="1"/>
    <col min="15616" max="15616" width="7.5" style="182" customWidth="1"/>
    <col min="15617" max="15854" width="9" style="182"/>
    <col min="15855" max="15855" width="7.625" style="182" customWidth="1"/>
    <col min="15856" max="15856" width="6.625" style="182" customWidth="1"/>
    <col min="15857" max="15857" width="5.625" style="182" customWidth="1"/>
    <col min="15858" max="15860" width="9" style="182"/>
    <col min="15861" max="15861" width="8" style="182" customWidth="1"/>
    <col min="15862" max="15870" width="9" style="182"/>
    <col min="15871" max="15871" width="15" style="182" customWidth="1"/>
    <col min="15872" max="15872" width="7.5" style="182" customWidth="1"/>
    <col min="15873" max="16110" width="9" style="182"/>
    <col min="16111" max="16111" width="7.625" style="182" customWidth="1"/>
    <col min="16112" max="16112" width="6.625" style="182" customWidth="1"/>
    <col min="16113" max="16113" width="5.625" style="182" customWidth="1"/>
    <col min="16114" max="16116" width="9" style="182"/>
    <col min="16117" max="16117" width="8" style="182" customWidth="1"/>
    <col min="16118" max="16126" width="9" style="182"/>
    <col min="16127" max="16127" width="15" style="182" customWidth="1"/>
    <col min="16128" max="16128" width="7.5" style="182" customWidth="1"/>
    <col min="16129" max="16384" width="9" style="182"/>
  </cols>
  <sheetData>
    <row r="8" spans="1:15" ht="29.25">
      <c r="A8" s="630" t="s">
        <v>121</v>
      </c>
      <c r="B8" s="631"/>
      <c r="C8" s="631"/>
      <c r="D8" s="631"/>
      <c r="E8" s="631"/>
      <c r="F8" s="631"/>
      <c r="G8" s="631"/>
      <c r="H8" s="631"/>
      <c r="I8" s="631"/>
      <c r="J8" s="631"/>
      <c r="K8" s="279"/>
      <c r="L8" s="280"/>
      <c r="M8" s="280"/>
      <c r="N8" s="280"/>
      <c r="O8" s="280"/>
    </row>
    <row r="9" spans="1:15" ht="29.25">
      <c r="A9" s="281" t="s">
        <v>122</v>
      </c>
      <c r="B9" s="282"/>
      <c r="C9" s="282"/>
      <c r="D9" s="282"/>
      <c r="E9" s="282"/>
      <c r="F9" s="282"/>
      <c r="G9" s="282"/>
      <c r="H9" s="282"/>
      <c r="I9" s="282"/>
      <c r="J9" s="283"/>
      <c r="K9" s="280"/>
      <c r="L9" s="280"/>
      <c r="M9" s="280"/>
      <c r="N9" s="280"/>
      <c r="O9" s="280"/>
    </row>
    <row r="10" spans="1:15">
      <c r="A10" s="280"/>
      <c r="B10" s="280"/>
      <c r="C10" s="280"/>
      <c r="D10" s="280"/>
      <c r="E10" s="280"/>
      <c r="F10" s="280"/>
      <c r="G10" s="280"/>
      <c r="H10" s="280"/>
      <c r="I10" s="280"/>
      <c r="J10" s="280"/>
      <c r="K10" s="280"/>
      <c r="L10" s="280"/>
      <c r="M10" s="280"/>
      <c r="N10" s="280"/>
      <c r="O10" s="280"/>
    </row>
    <row r="11" spans="1:15" ht="23.25" customHeight="1">
      <c r="A11" s="284" t="s">
        <v>123</v>
      </c>
      <c r="B11" s="285"/>
      <c r="C11" s="286"/>
      <c r="D11" s="286"/>
      <c r="E11" s="285"/>
      <c r="F11" s="285"/>
      <c r="G11" s="285"/>
      <c r="H11" s="285"/>
      <c r="I11" s="285"/>
      <c r="J11" s="285"/>
      <c r="K11" s="285"/>
      <c r="L11" s="285"/>
      <c r="M11" s="285"/>
      <c r="N11" s="285"/>
      <c r="O11" s="285"/>
    </row>
    <row r="12" spans="1:15" ht="23.25" customHeight="1">
      <c r="A12" s="287" t="s">
        <v>124</v>
      </c>
      <c r="B12" s="288"/>
      <c r="C12" s="287"/>
      <c r="D12" s="287"/>
      <c r="E12" s="287"/>
      <c r="F12" s="287"/>
      <c r="G12" s="287"/>
      <c r="H12" s="287"/>
      <c r="I12" s="287"/>
      <c r="J12" s="287"/>
      <c r="K12" s="287"/>
      <c r="L12" s="287"/>
      <c r="M12" s="287"/>
      <c r="N12" s="287"/>
      <c r="O12" s="287"/>
    </row>
    <row r="13" spans="1:15" ht="25.5" customHeight="1">
      <c r="A13" s="541" t="s">
        <v>125</v>
      </c>
      <c r="B13" s="541"/>
      <c r="C13" s="541"/>
      <c r="D13" s="541"/>
      <c r="E13" s="541"/>
      <c r="F13" s="541"/>
      <c r="G13" s="541"/>
      <c r="H13" s="541"/>
      <c r="I13" s="541"/>
      <c r="J13" s="541"/>
      <c r="K13" s="541"/>
      <c r="L13" s="541"/>
      <c r="M13" s="541"/>
      <c r="N13" s="541"/>
      <c r="O13" s="287"/>
    </row>
    <row r="14" spans="1:15">
      <c r="A14" s="287" t="s">
        <v>126</v>
      </c>
      <c r="B14" s="287"/>
      <c r="C14" s="287"/>
      <c r="D14" s="287"/>
      <c r="E14" s="287"/>
      <c r="F14" s="287"/>
      <c r="G14" s="287"/>
      <c r="H14" s="287"/>
      <c r="I14" s="287"/>
      <c r="J14" s="287"/>
      <c r="K14" s="287"/>
      <c r="L14" s="287"/>
      <c r="M14" s="287"/>
      <c r="N14" s="287"/>
      <c r="O14" s="287"/>
    </row>
    <row r="15" spans="1:15" ht="12.75" customHeight="1">
      <c r="A15" s="287" t="s">
        <v>127</v>
      </c>
      <c r="B15" s="287"/>
      <c r="C15" s="287"/>
      <c r="D15" s="287"/>
      <c r="E15" s="287"/>
      <c r="F15" s="287"/>
      <c r="G15" s="287"/>
      <c r="H15" s="287"/>
      <c r="I15" s="287"/>
      <c r="J15" s="287"/>
      <c r="K15" s="287"/>
      <c r="L15" s="287"/>
      <c r="M15" s="287"/>
      <c r="N15" s="287"/>
      <c r="O15" s="287"/>
    </row>
    <row r="16" spans="1:15" ht="12.75" customHeight="1">
      <c r="A16" s="277" t="s">
        <v>128</v>
      </c>
      <c r="B16" s="287"/>
      <c r="C16" s="287"/>
      <c r="D16" s="287"/>
      <c r="E16" s="287"/>
      <c r="F16" s="287"/>
      <c r="G16" s="287"/>
      <c r="H16" s="287"/>
      <c r="I16" s="287"/>
      <c r="J16" s="287"/>
      <c r="K16" s="287"/>
      <c r="L16" s="287"/>
      <c r="M16" s="287"/>
      <c r="N16" s="287"/>
      <c r="O16" s="287"/>
    </row>
    <row r="17" spans="1:15" ht="12.75" customHeight="1">
      <c r="A17" s="277" t="s">
        <v>129</v>
      </c>
      <c r="B17" s="287"/>
      <c r="C17" s="287"/>
      <c r="D17" s="287"/>
      <c r="E17" s="287"/>
      <c r="F17" s="287"/>
      <c r="G17" s="287"/>
      <c r="H17" s="287"/>
      <c r="I17" s="287"/>
      <c r="J17" s="287"/>
      <c r="K17" s="287"/>
      <c r="L17" s="287"/>
      <c r="M17" s="287"/>
      <c r="N17" s="287"/>
      <c r="O17" s="287"/>
    </row>
    <row r="18" spans="1:15" ht="25.5" customHeight="1">
      <c r="A18" s="287" t="s">
        <v>130</v>
      </c>
      <c r="B18" s="287"/>
      <c r="C18" s="287"/>
      <c r="D18" s="287"/>
      <c r="E18" s="287"/>
      <c r="F18" s="287"/>
      <c r="G18" s="287"/>
      <c r="H18" s="287"/>
      <c r="I18" s="287"/>
      <c r="J18" s="287"/>
      <c r="K18" s="287"/>
      <c r="L18" s="287"/>
      <c r="M18" s="287"/>
      <c r="N18" s="287"/>
      <c r="O18" s="287"/>
    </row>
    <row r="19" spans="1:15" ht="12.75" customHeight="1">
      <c r="A19" s="287"/>
      <c r="B19" s="287"/>
      <c r="C19" s="287"/>
      <c r="D19" s="287"/>
      <c r="E19" s="287"/>
      <c r="F19" s="287"/>
      <c r="G19" s="287"/>
      <c r="H19" s="287"/>
      <c r="I19" s="287"/>
      <c r="J19" s="287"/>
      <c r="K19" s="287"/>
      <c r="L19" s="287"/>
      <c r="M19" s="287"/>
      <c r="N19" s="287"/>
      <c r="O19" s="287"/>
    </row>
    <row r="20" spans="1:15">
      <c r="A20" s="284" t="s">
        <v>131</v>
      </c>
      <c r="B20" s="286"/>
      <c r="C20" s="286"/>
      <c r="D20" s="286"/>
      <c r="E20" s="286"/>
      <c r="F20" s="286"/>
      <c r="G20" s="286"/>
      <c r="H20" s="286"/>
      <c r="I20" s="285"/>
      <c r="J20" s="285"/>
      <c r="K20" s="285"/>
      <c r="L20" s="285"/>
      <c r="M20" s="285"/>
      <c r="N20" s="285"/>
      <c r="O20" s="285"/>
    </row>
    <row r="21" spans="1:15">
      <c r="A21" s="289" t="s">
        <v>132</v>
      </c>
      <c r="B21" s="331"/>
      <c r="C21" s="331"/>
      <c r="D21" s="332"/>
      <c r="E21" s="331"/>
      <c r="F21" s="331"/>
      <c r="G21" s="280"/>
      <c r="H21" s="280"/>
      <c r="I21" s="280"/>
      <c r="J21" s="280"/>
      <c r="K21" s="280"/>
      <c r="L21" s="280"/>
      <c r="M21" s="280"/>
      <c r="N21" s="280"/>
      <c r="O21" s="280"/>
    </row>
    <row r="22" spans="1:15" ht="12.75" customHeight="1">
      <c r="A22" s="443" t="s">
        <v>133</v>
      </c>
      <c r="B22" s="442"/>
      <c r="C22" s="331"/>
      <c r="D22" s="332"/>
      <c r="E22" s="331"/>
      <c r="F22" s="331"/>
      <c r="G22" s="280"/>
      <c r="H22" s="280"/>
      <c r="I22" s="280"/>
      <c r="J22" s="280"/>
      <c r="K22" s="280"/>
      <c r="L22" s="280"/>
      <c r="M22" s="280"/>
      <c r="N22" s="280"/>
      <c r="O22" s="280"/>
    </row>
    <row r="23" spans="1:15" ht="12.75" customHeight="1">
      <c r="A23" s="346"/>
      <c r="B23" s="331"/>
      <c r="C23" s="331"/>
      <c r="D23" s="332"/>
      <c r="E23" s="331"/>
      <c r="F23" s="331"/>
      <c r="G23" s="331"/>
      <c r="H23" s="331"/>
      <c r="I23" s="331"/>
      <c r="J23" s="331"/>
      <c r="K23" s="331"/>
      <c r="L23" s="331"/>
      <c r="M23" s="331"/>
      <c r="N23" s="331"/>
      <c r="O23" s="331"/>
    </row>
    <row r="24" spans="1:15" ht="12.75" customHeight="1">
      <c r="A24" s="290" t="s">
        <v>134</v>
      </c>
      <c r="B24" s="280"/>
      <c r="C24" s="331"/>
      <c r="D24" s="332"/>
      <c r="E24" s="331"/>
      <c r="F24" s="331"/>
      <c r="G24" s="331"/>
      <c r="H24" s="331"/>
      <c r="I24" s="280"/>
      <c r="J24" s="280"/>
      <c r="K24" s="280"/>
      <c r="L24" s="280"/>
      <c r="M24" s="280"/>
      <c r="N24" s="280"/>
      <c r="O24" s="280"/>
    </row>
    <row r="25" spans="1:15" ht="21" customHeight="1">
      <c r="A25" s="540" t="s">
        <v>135</v>
      </c>
      <c r="B25" s="540"/>
      <c r="C25" s="540"/>
      <c r="D25" s="540"/>
      <c r="E25" s="540"/>
      <c r="F25" s="540"/>
      <c r="G25" s="540"/>
      <c r="H25" s="540"/>
      <c r="I25" s="540"/>
      <c r="J25" s="540"/>
      <c r="K25" s="540"/>
      <c r="L25" s="540"/>
      <c r="M25" s="540"/>
      <c r="N25" s="540"/>
      <c r="O25" s="540"/>
    </row>
    <row r="26" spans="1:15" ht="15" customHeight="1">
      <c r="A26" s="321" t="s">
        <v>136</v>
      </c>
      <c r="B26" s="280"/>
      <c r="C26" s="280"/>
      <c r="D26" s="283"/>
      <c r="E26" s="280"/>
      <c r="F26" s="280"/>
      <c r="G26" s="280"/>
      <c r="H26" s="280"/>
      <c r="I26" s="280"/>
      <c r="J26" s="280"/>
      <c r="K26" s="280"/>
      <c r="L26" s="280"/>
      <c r="M26" s="280"/>
      <c r="N26" s="280"/>
      <c r="O26" s="280"/>
    </row>
    <row r="27" spans="1:15" ht="12.75" customHeight="1">
      <c r="A27" s="441" t="s">
        <v>137</v>
      </c>
      <c r="B27" s="280"/>
      <c r="C27" s="280"/>
      <c r="D27" s="283"/>
      <c r="E27" s="280"/>
      <c r="F27" s="280"/>
      <c r="G27" s="280"/>
      <c r="H27" s="280"/>
      <c r="I27" s="280"/>
      <c r="J27" s="280"/>
      <c r="K27" s="280"/>
      <c r="L27" s="280"/>
      <c r="M27" s="280"/>
      <c r="N27" s="280"/>
      <c r="O27" s="280"/>
    </row>
    <row r="28" spans="1:15" ht="15" customHeight="1">
      <c r="A28" s="321"/>
      <c r="B28" s="280"/>
      <c r="C28" s="280"/>
      <c r="D28" s="283"/>
      <c r="E28" s="280"/>
      <c r="F28" s="280"/>
      <c r="G28" s="280"/>
      <c r="H28" s="280"/>
      <c r="I28" s="280"/>
      <c r="J28" s="280"/>
      <c r="K28" s="280"/>
      <c r="L28" s="280"/>
      <c r="M28" s="280"/>
      <c r="N28" s="280"/>
      <c r="O28" s="280"/>
    </row>
    <row r="29" spans="1:15" ht="15" customHeight="1">
      <c r="A29" s="321" t="s">
        <v>138</v>
      </c>
      <c r="B29" s="280"/>
      <c r="C29" s="280"/>
      <c r="D29" s="283"/>
      <c r="E29" s="280"/>
      <c r="F29" s="280"/>
      <c r="G29" s="280"/>
      <c r="H29" s="280"/>
      <c r="I29" s="280"/>
      <c r="J29" s="280"/>
      <c r="K29" s="280"/>
      <c r="L29" s="280"/>
      <c r="M29" s="280"/>
      <c r="N29" s="280"/>
      <c r="O29" s="280"/>
    </row>
    <row r="30" spans="1:15" ht="12.75" customHeight="1">
      <c r="A30" s="441" t="s">
        <v>139</v>
      </c>
      <c r="B30" s="280"/>
      <c r="C30" s="280"/>
      <c r="D30" s="283"/>
      <c r="E30" s="280"/>
      <c r="F30" s="280"/>
      <c r="G30" s="280"/>
      <c r="H30" s="280"/>
      <c r="I30" s="280"/>
      <c r="J30" s="280"/>
      <c r="K30" s="280"/>
      <c r="L30" s="280"/>
      <c r="M30" s="280"/>
      <c r="N30" s="280"/>
      <c r="O30" s="280"/>
    </row>
    <row r="31" spans="1:15" ht="18" customHeight="1">
      <c r="A31" s="441"/>
      <c r="B31" s="280"/>
      <c r="C31" s="280"/>
      <c r="D31" s="283"/>
      <c r="E31" s="280"/>
      <c r="F31" s="280"/>
      <c r="G31" s="280"/>
      <c r="H31" s="280"/>
      <c r="I31" s="280"/>
      <c r="J31" s="280"/>
      <c r="K31" s="280"/>
      <c r="L31" s="280"/>
      <c r="M31" s="280"/>
      <c r="N31" s="280"/>
      <c r="O31" s="280"/>
    </row>
    <row r="32" spans="1:15" ht="15" customHeight="1">
      <c r="A32" s="321" t="s">
        <v>140</v>
      </c>
      <c r="B32" s="280"/>
      <c r="C32" s="280"/>
      <c r="D32" s="283"/>
      <c r="E32" s="280"/>
      <c r="F32" s="280"/>
      <c r="G32" s="280"/>
      <c r="H32" s="280"/>
      <c r="I32" s="280"/>
      <c r="J32" s="280"/>
      <c r="K32" s="280"/>
      <c r="L32" s="280"/>
      <c r="M32" s="280"/>
      <c r="N32" s="280"/>
      <c r="O32" s="280"/>
    </row>
    <row r="33" spans="1:15" ht="15" customHeight="1">
      <c r="A33" s="514" t="s">
        <v>141</v>
      </c>
      <c r="B33" s="280"/>
      <c r="C33" s="280"/>
      <c r="D33" s="283"/>
      <c r="E33" s="280"/>
      <c r="F33" s="280"/>
      <c r="G33" s="280"/>
      <c r="H33" s="280"/>
      <c r="I33" s="280"/>
      <c r="J33" s="280"/>
      <c r="K33" s="280"/>
      <c r="L33" s="280"/>
      <c r="M33" s="280"/>
      <c r="N33" s="280"/>
      <c r="O33" s="280"/>
    </row>
    <row r="34" spans="1:15" ht="14.25" customHeight="1">
      <c r="B34" s="291"/>
      <c r="C34" s="291"/>
      <c r="D34" s="291"/>
      <c r="E34" s="291"/>
      <c r="F34" s="291"/>
      <c r="G34" s="291"/>
      <c r="H34" s="291"/>
      <c r="I34" s="291"/>
      <c r="J34" s="291"/>
      <c r="K34" s="291"/>
      <c r="L34" s="291"/>
      <c r="M34" s="291"/>
      <c r="N34" s="291"/>
      <c r="O34" s="291"/>
    </row>
    <row r="35" spans="1:15">
      <c r="A35" s="292" t="s">
        <v>142</v>
      </c>
      <c r="B35" s="293"/>
      <c r="C35" s="293"/>
      <c r="D35" s="293"/>
      <c r="E35" s="293"/>
      <c r="F35" s="293"/>
      <c r="G35" s="293"/>
      <c r="H35" s="293"/>
      <c r="I35" s="293"/>
      <c r="J35" s="293"/>
      <c r="K35" s="293"/>
      <c r="L35" s="293"/>
      <c r="M35" s="293"/>
      <c r="N35" s="293"/>
      <c r="O35" s="293"/>
    </row>
    <row r="36" spans="1:15" ht="25.5" customHeight="1">
      <c r="A36" s="444" t="s">
        <v>143</v>
      </c>
      <c r="B36" s="277"/>
      <c r="D36" s="277"/>
      <c r="E36" s="277"/>
      <c r="F36" s="277"/>
      <c r="G36" s="277"/>
      <c r="H36" s="277"/>
      <c r="I36" s="277"/>
      <c r="J36" s="277"/>
      <c r="K36" s="277"/>
      <c r="L36" s="277"/>
      <c r="M36" s="277"/>
      <c r="N36" s="277"/>
      <c r="O36" s="277"/>
    </row>
    <row r="37" spans="1:15" ht="25.5" customHeight="1">
      <c r="A37" s="307" t="s">
        <v>144</v>
      </c>
      <c r="B37" s="277"/>
      <c r="C37" s="277"/>
      <c r="D37" s="277"/>
      <c r="E37" s="277"/>
      <c r="F37" s="277"/>
      <c r="G37" s="277"/>
      <c r="H37" s="277"/>
      <c r="I37" s="277"/>
      <c r="J37" s="277"/>
      <c r="K37" s="277"/>
      <c r="L37" s="277"/>
      <c r="M37" s="277"/>
      <c r="N37" s="277"/>
      <c r="O37" s="277"/>
    </row>
    <row r="38" spans="1:15" ht="10.5" customHeight="1">
      <c r="A38" s="333" t="s">
        <v>145</v>
      </c>
      <c r="B38" s="276"/>
      <c r="C38" s="276"/>
      <c r="D38" s="276"/>
      <c r="E38" s="276"/>
      <c r="F38" s="276"/>
      <c r="G38" s="276"/>
      <c r="H38" s="276"/>
      <c r="I38" s="276"/>
      <c r="J38" s="276"/>
      <c r="K38" s="276"/>
      <c r="L38" s="276"/>
      <c r="M38" s="276"/>
      <c r="N38" s="276"/>
      <c r="O38" s="276"/>
    </row>
    <row r="39" spans="1:15">
      <c r="A39" s="334" t="s">
        <v>146</v>
      </c>
      <c r="B39" s="276"/>
      <c r="C39" s="276"/>
      <c r="D39" s="276"/>
      <c r="E39" s="276"/>
      <c r="F39" s="276"/>
      <c r="G39" s="276"/>
      <c r="H39" s="276"/>
      <c r="I39" s="276"/>
      <c r="J39" s="276"/>
      <c r="K39" s="276"/>
      <c r="L39" s="276"/>
      <c r="M39" s="276"/>
      <c r="N39" s="276"/>
      <c r="O39" s="276"/>
    </row>
    <row r="40" spans="1:15">
      <c r="A40" s="335" t="s">
        <v>147</v>
      </c>
      <c r="B40" s="276"/>
      <c r="C40" s="276"/>
      <c r="D40" s="276"/>
      <c r="E40" s="276"/>
      <c r="F40" s="276"/>
      <c r="G40" s="276"/>
      <c r="H40" s="276"/>
      <c r="I40" s="276"/>
      <c r="J40" s="276"/>
      <c r="K40" s="276"/>
      <c r="L40" s="276"/>
      <c r="M40" s="276"/>
      <c r="N40" s="276"/>
      <c r="O40" s="276"/>
    </row>
    <row r="41" spans="1:15">
      <c r="A41" s="335"/>
      <c r="B41" s="276"/>
      <c r="C41" s="276"/>
      <c r="D41" s="276"/>
      <c r="E41" s="276"/>
      <c r="F41" s="276"/>
      <c r="G41" s="276"/>
      <c r="H41" s="276"/>
      <c r="I41" s="276"/>
      <c r="J41" s="276"/>
      <c r="K41" s="276"/>
      <c r="L41" s="276"/>
      <c r="M41" s="276"/>
      <c r="N41" s="276"/>
      <c r="O41" s="276"/>
    </row>
    <row r="42" spans="1:15">
      <c r="A42" s="335" t="s">
        <v>148</v>
      </c>
      <c r="B42" s="276"/>
      <c r="C42" s="276"/>
      <c r="D42" s="276"/>
      <c r="E42" s="276"/>
      <c r="F42" s="276"/>
      <c r="G42" s="276"/>
      <c r="H42" s="276"/>
      <c r="I42" s="276"/>
      <c r="J42" s="276"/>
      <c r="K42" s="276"/>
      <c r="L42" s="276"/>
      <c r="M42" s="276"/>
      <c r="N42" s="276"/>
      <c r="O42" s="276"/>
    </row>
    <row r="43" spans="1:15">
      <c r="A43" s="336" t="s">
        <v>149</v>
      </c>
      <c r="B43" s="277"/>
      <c r="C43" s="277"/>
      <c r="D43" s="277"/>
      <c r="E43" s="277"/>
      <c r="F43" s="277"/>
      <c r="G43" s="277"/>
      <c r="H43" s="277"/>
      <c r="I43" s="277"/>
      <c r="J43" s="277"/>
      <c r="K43" s="277"/>
      <c r="L43" s="277"/>
      <c r="M43" s="277"/>
      <c r="N43" s="277"/>
      <c r="O43" s="277"/>
    </row>
    <row r="44" spans="1:15">
      <c r="A44" s="336"/>
      <c r="B44" s="277"/>
      <c r="C44" s="277"/>
      <c r="D44" s="277"/>
      <c r="E44" s="277"/>
      <c r="F44" s="277"/>
      <c r="G44" s="277"/>
      <c r="H44" s="277"/>
      <c r="I44" s="277"/>
      <c r="J44" s="277"/>
      <c r="K44" s="277"/>
      <c r="L44" s="277"/>
      <c r="M44" s="277"/>
      <c r="N44" s="277"/>
      <c r="O44" s="277"/>
    </row>
    <row r="45" spans="1:15" ht="81" customHeight="1">
      <c r="A45" s="336"/>
      <c r="B45" s="277"/>
      <c r="C45" s="479" t="s">
        <v>150</v>
      </c>
      <c r="D45" s="277"/>
      <c r="E45" s="277"/>
      <c r="F45" s="277"/>
      <c r="G45" s="277"/>
      <c r="H45" s="277"/>
      <c r="I45" s="277"/>
      <c r="J45" s="277"/>
      <c r="K45" s="277"/>
      <c r="L45" s="277"/>
      <c r="M45" s="277"/>
      <c r="N45" s="277"/>
      <c r="O45" s="277"/>
    </row>
    <row r="46" spans="1:15">
      <c r="A46" s="276"/>
      <c r="B46" s="276"/>
      <c r="C46" s="276"/>
      <c r="D46" s="276"/>
      <c r="E46" s="276"/>
      <c r="F46" s="276"/>
      <c r="G46" s="276"/>
      <c r="H46" s="276"/>
      <c r="I46" s="276"/>
      <c r="J46" s="276"/>
      <c r="K46" s="276"/>
      <c r="L46" s="276"/>
      <c r="M46" s="276"/>
      <c r="N46" s="276"/>
      <c r="O46" s="276"/>
    </row>
    <row r="47" spans="1:15">
      <c r="A47" s="292" t="s">
        <v>151</v>
      </c>
      <c r="B47" s="293"/>
      <c r="C47" s="293"/>
      <c r="D47" s="293"/>
      <c r="E47" s="293"/>
      <c r="F47" s="293"/>
      <c r="G47" s="293"/>
      <c r="H47" s="293"/>
      <c r="I47" s="293"/>
      <c r="J47" s="293"/>
      <c r="K47" s="293"/>
      <c r="L47" s="293"/>
      <c r="M47" s="293"/>
      <c r="N47" s="293"/>
      <c r="O47" s="293"/>
    </row>
    <row r="48" spans="1:15">
      <c r="A48" s="543"/>
      <c r="B48" s="543"/>
      <c r="C48" s="543"/>
      <c r="D48" s="543"/>
      <c r="E48" s="543"/>
      <c r="F48" s="543"/>
      <c r="G48" s="543"/>
      <c r="H48" s="543"/>
      <c r="I48" s="543"/>
      <c r="J48" s="543"/>
      <c r="K48" s="543"/>
      <c r="L48" s="543"/>
      <c r="M48" s="543"/>
      <c r="N48" s="543"/>
      <c r="O48" s="543"/>
    </row>
    <row r="49" spans="1:15">
      <c r="A49" s="470" t="s">
        <v>152</v>
      </c>
      <c r="B49" s="471"/>
      <c r="C49" s="471"/>
      <c r="D49" s="471"/>
      <c r="E49" s="444"/>
      <c r="F49" s="472"/>
      <c r="G49" s="471"/>
      <c r="H49" s="471"/>
      <c r="I49" s="471"/>
      <c r="J49" s="276"/>
      <c r="K49" s="276"/>
      <c r="L49" s="276"/>
      <c r="M49" s="276"/>
      <c r="N49" s="276"/>
      <c r="O49" s="276"/>
    </row>
    <row r="50" spans="1:15">
      <c r="A50" s="470" t="s">
        <v>153</v>
      </c>
      <c r="B50" s="471"/>
      <c r="C50" s="471"/>
      <c r="D50" s="471"/>
      <c r="E50" s="472"/>
      <c r="F50" s="471"/>
      <c r="G50" s="471"/>
      <c r="H50" s="471"/>
      <c r="I50" s="471"/>
      <c r="J50" s="276"/>
      <c r="K50" s="276"/>
      <c r="L50" s="276"/>
      <c r="M50" s="276"/>
      <c r="N50" s="276"/>
      <c r="O50" s="276"/>
    </row>
    <row r="51" spans="1:15" ht="22.5" customHeight="1">
      <c r="A51" s="544" t="s">
        <v>154</v>
      </c>
      <c r="B51" s="544"/>
      <c r="C51" s="544"/>
      <c r="D51" s="544"/>
      <c r="E51" s="544"/>
      <c r="F51" s="544"/>
      <c r="G51" s="544"/>
      <c r="H51" s="544"/>
      <c r="I51" s="544"/>
      <c r="J51" s="544"/>
      <c r="K51" s="544"/>
      <c r="L51" s="544"/>
      <c r="M51" s="544"/>
      <c r="N51" s="544"/>
      <c r="O51" s="544"/>
    </row>
    <row r="52" spans="1:15" s="181" customFormat="1">
      <c r="A52" s="471" t="s">
        <v>155</v>
      </c>
      <c r="B52" s="444"/>
      <c r="C52" s="471"/>
      <c r="D52" s="471"/>
      <c r="E52" s="471"/>
      <c r="F52" s="471"/>
      <c r="G52" s="471"/>
      <c r="H52" s="471"/>
      <c r="I52" s="471"/>
      <c r="J52" s="277"/>
      <c r="K52" s="277"/>
      <c r="L52" s="277"/>
      <c r="M52" s="277"/>
      <c r="N52" s="277"/>
      <c r="O52" s="277"/>
    </row>
    <row r="53" spans="1:15" s="181" customFormat="1">
      <c r="A53" s="444" t="s">
        <v>156</v>
      </c>
      <c r="B53" s="471"/>
      <c r="C53" s="471"/>
      <c r="D53" s="471"/>
      <c r="E53" s="471"/>
      <c r="F53" s="471"/>
      <c r="G53" s="471"/>
      <c r="H53" s="471"/>
      <c r="I53" s="471"/>
      <c r="J53" s="277"/>
      <c r="K53" s="277"/>
      <c r="L53" s="277"/>
      <c r="M53" s="277"/>
      <c r="N53" s="277"/>
      <c r="O53" s="277"/>
    </row>
    <row r="54" spans="1:15" s="181" customFormat="1">
      <c r="A54" s="444"/>
      <c r="B54" s="471"/>
      <c r="C54" s="471"/>
      <c r="D54" s="471"/>
      <c r="E54" s="471"/>
      <c r="F54" s="471"/>
      <c r="G54" s="471"/>
      <c r="H54" s="471"/>
      <c r="I54" s="471"/>
      <c r="J54" s="277"/>
      <c r="K54" s="277"/>
      <c r="L54" s="277"/>
      <c r="M54" s="277"/>
      <c r="N54" s="277"/>
      <c r="O54" s="277"/>
    </row>
    <row r="55" spans="1:15" ht="39.950000000000003" customHeight="1">
      <c r="A55" s="542" t="s">
        <v>157</v>
      </c>
      <c r="B55" s="542"/>
      <c r="C55" s="542"/>
      <c r="D55" s="542"/>
      <c r="E55" s="542"/>
      <c r="F55" s="542"/>
      <c r="G55" s="542"/>
      <c r="H55" s="542"/>
      <c r="I55" s="542"/>
      <c r="J55" s="542"/>
      <c r="K55" s="542"/>
      <c r="L55" s="542"/>
      <c r="M55" s="542"/>
      <c r="N55" s="542"/>
      <c r="O55" s="542"/>
    </row>
    <row r="56" spans="1:15" ht="9" customHeight="1">
      <c r="A56" s="480"/>
      <c r="B56" s="480"/>
      <c r="C56" s="480"/>
      <c r="D56" s="480"/>
      <c r="E56" s="480"/>
      <c r="F56" s="480"/>
      <c r="G56" s="480"/>
      <c r="H56" s="480"/>
      <c r="I56" s="480"/>
      <c r="J56" s="480"/>
      <c r="K56" s="480"/>
      <c r="L56" s="480"/>
      <c r="M56" s="480"/>
      <c r="N56" s="480"/>
      <c r="O56" s="480"/>
    </row>
    <row r="57" spans="1:15">
      <c r="A57" s="474"/>
      <c r="B57" s="471" t="s">
        <v>158</v>
      </c>
      <c r="C57" s="471"/>
      <c r="D57" s="471"/>
      <c r="E57" s="444"/>
      <c r="F57" s="472"/>
      <c r="G57" s="471"/>
      <c r="H57" s="471"/>
      <c r="I57" s="471"/>
      <c r="J57" s="276"/>
      <c r="K57" s="276"/>
      <c r="L57" s="276"/>
      <c r="M57" s="276"/>
      <c r="N57" s="276"/>
      <c r="O57" s="276"/>
    </row>
    <row r="58" spans="1:15">
      <c r="A58" s="470" t="s">
        <v>159</v>
      </c>
      <c r="B58" s="471" t="s">
        <v>160</v>
      </c>
      <c r="C58" s="471"/>
      <c r="D58" s="471"/>
      <c r="E58" s="472"/>
      <c r="F58" s="471"/>
      <c r="G58" s="471"/>
      <c r="H58" s="471"/>
      <c r="I58" s="471"/>
      <c r="J58" s="276"/>
      <c r="K58" s="276"/>
      <c r="L58" s="276"/>
      <c r="M58" s="276"/>
      <c r="N58" s="276"/>
      <c r="O58" s="276"/>
    </row>
    <row r="59" spans="1:15" ht="12.95" customHeight="1">
      <c r="A59" s="470" t="s">
        <v>161</v>
      </c>
      <c r="B59" s="471" t="s">
        <v>162</v>
      </c>
      <c r="C59" s="471"/>
      <c r="D59" s="471"/>
      <c r="E59" s="471"/>
      <c r="F59" s="472"/>
      <c r="G59" s="471"/>
      <c r="H59" s="471"/>
      <c r="I59" s="471"/>
      <c r="J59" s="444"/>
      <c r="K59" s="444"/>
      <c r="L59" s="444"/>
      <c r="M59" s="444"/>
      <c r="N59" s="444"/>
      <c r="O59" s="473"/>
    </row>
    <row r="60" spans="1:15" s="181" customFormat="1">
      <c r="A60" s="471" t="s">
        <v>163</v>
      </c>
      <c r="B60" s="444" t="s">
        <v>164</v>
      </c>
      <c r="C60" s="471"/>
      <c r="D60" s="471"/>
      <c r="E60" s="471"/>
      <c r="F60" s="471"/>
      <c r="G60" s="471"/>
      <c r="H60" s="471"/>
      <c r="I60" s="471"/>
      <c r="J60" s="277"/>
      <c r="K60" s="277"/>
      <c r="L60" s="277"/>
      <c r="M60" s="277"/>
      <c r="N60" s="277"/>
      <c r="O60" s="277"/>
    </row>
    <row r="61" spans="1:15" s="181" customFormat="1">
      <c r="A61" s="444" t="s">
        <v>165</v>
      </c>
      <c r="B61" s="471" t="s">
        <v>166</v>
      </c>
      <c r="C61" s="471"/>
      <c r="D61" s="471"/>
      <c r="E61" s="471"/>
      <c r="F61" s="471"/>
      <c r="G61" s="471"/>
      <c r="H61" s="471"/>
      <c r="I61" s="471"/>
      <c r="J61" s="277"/>
      <c r="K61" s="277"/>
      <c r="L61" s="277"/>
      <c r="M61" s="277"/>
      <c r="N61" s="277"/>
      <c r="O61" s="277"/>
    </row>
    <row r="62" spans="1:15" s="181" customFormat="1" ht="12.75" customHeight="1">
      <c r="A62" s="470" t="s">
        <v>167</v>
      </c>
      <c r="B62" s="471" t="s">
        <v>168</v>
      </c>
      <c r="C62" s="471"/>
      <c r="D62" s="471"/>
      <c r="E62" s="471"/>
      <c r="F62" s="472"/>
      <c r="G62" s="471"/>
      <c r="H62" s="471"/>
      <c r="I62" s="471"/>
      <c r="J62" s="277"/>
      <c r="K62" s="277"/>
      <c r="L62" s="277"/>
      <c r="M62" s="277"/>
      <c r="N62" s="277"/>
      <c r="O62" s="277"/>
    </row>
    <row r="63" spans="1:15" s="181" customFormat="1" ht="12.75" customHeight="1">
      <c r="A63" s="470"/>
      <c r="B63" s="471"/>
      <c r="C63" s="471"/>
      <c r="D63" s="471"/>
      <c r="E63" s="471"/>
      <c r="F63" s="472"/>
      <c r="G63" s="471"/>
      <c r="H63" s="471"/>
      <c r="I63" s="471"/>
      <c r="J63" s="277"/>
      <c r="K63" s="277"/>
      <c r="L63" s="277"/>
      <c r="M63" s="277"/>
      <c r="N63" s="277"/>
      <c r="O63" s="277"/>
    </row>
    <row r="64" spans="1:15" s="181" customFormat="1" ht="12.75" customHeight="1">
      <c r="A64" s="470"/>
      <c r="B64" s="471"/>
      <c r="C64" s="471"/>
      <c r="D64" s="471"/>
      <c r="E64" s="471"/>
      <c r="F64" s="472"/>
      <c r="G64" s="471"/>
      <c r="H64" s="471"/>
      <c r="I64" s="471"/>
      <c r="J64" s="277"/>
      <c r="K64" s="277"/>
      <c r="L64" s="277"/>
      <c r="M64" s="277"/>
      <c r="N64" s="277"/>
      <c r="O64" s="277"/>
    </row>
    <row r="65" spans="1:15" s="181" customFormat="1">
      <c r="A65" s="306"/>
      <c r="B65" s="276"/>
      <c r="C65" s="276"/>
      <c r="D65" s="276"/>
      <c r="E65" s="276"/>
      <c r="F65" s="276"/>
      <c r="G65" s="276"/>
      <c r="H65" s="276"/>
      <c r="I65" s="276"/>
      <c r="J65" s="277"/>
      <c r="K65" s="277"/>
      <c r="L65" s="277"/>
      <c r="M65" s="277"/>
      <c r="N65" s="277"/>
      <c r="O65" s="277"/>
    </row>
    <row r="66" spans="1:15" s="181" customFormat="1">
      <c r="A66" s="276"/>
      <c r="B66" s="276"/>
      <c r="C66" s="276"/>
      <c r="D66" s="276"/>
      <c r="E66" s="276"/>
      <c r="F66" s="276"/>
      <c r="G66" s="276"/>
      <c r="H66" s="276"/>
      <c r="I66" s="276"/>
      <c r="J66" s="277"/>
      <c r="K66" s="277"/>
      <c r="L66" s="277"/>
      <c r="M66" s="277"/>
      <c r="N66" s="277"/>
      <c r="O66" s="277"/>
    </row>
    <row r="67" spans="1:15" s="181" customFormat="1">
      <c r="A67" s="294" t="s">
        <v>169</v>
      </c>
      <c r="B67" s="295"/>
      <c r="C67" s="295"/>
      <c r="D67" s="295"/>
      <c r="E67" s="295"/>
      <c r="F67" s="295"/>
      <c r="G67" s="295"/>
      <c r="H67" s="295"/>
      <c r="I67" s="295"/>
      <c r="J67" s="295"/>
      <c r="K67" s="295"/>
      <c r="L67" s="295"/>
      <c r="M67" s="295"/>
      <c r="N67" s="295"/>
      <c r="O67" s="295"/>
    </row>
    <row r="68" spans="1:15" s="181" customFormat="1">
      <c r="A68" s="475"/>
      <c r="B68" s="476"/>
      <c r="C68" s="476"/>
      <c r="D68" s="476"/>
      <c r="E68" s="476"/>
      <c r="F68" s="476"/>
      <c r="G68" s="476"/>
      <c r="H68" s="476"/>
      <c r="I68" s="476"/>
      <c r="J68" s="476"/>
      <c r="K68" s="476"/>
      <c r="L68" s="476"/>
      <c r="M68" s="476"/>
      <c r="N68" s="476"/>
      <c r="O68" s="476"/>
    </row>
    <row r="69" spans="1:15" s="277" customFormat="1" ht="30" customHeight="1">
      <c r="A69" s="541" t="s">
        <v>170</v>
      </c>
      <c r="B69" s="541"/>
      <c r="C69" s="541"/>
      <c r="D69" s="541"/>
      <c r="E69" s="541"/>
      <c r="F69" s="541"/>
      <c r="G69" s="541"/>
      <c r="H69" s="541"/>
      <c r="I69" s="541"/>
      <c r="J69" s="541"/>
      <c r="K69" s="541"/>
      <c r="L69" s="541"/>
      <c r="M69" s="541"/>
      <c r="N69" s="541"/>
    </row>
    <row r="70" spans="1:15" s="181" customFormat="1">
      <c r="A70" s="297" t="s">
        <v>171</v>
      </c>
      <c r="B70" s="277"/>
      <c r="C70" s="277"/>
      <c r="D70" s="277"/>
      <c r="E70" s="277"/>
      <c r="F70" s="277"/>
      <c r="G70" s="277"/>
      <c r="H70" s="277"/>
      <c r="I70" s="277"/>
      <c r="J70" s="277"/>
      <c r="K70" s="277"/>
      <c r="L70" s="277"/>
      <c r="M70" s="277"/>
      <c r="N70" s="277"/>
      <c r="O70" s="277"/>
    </row>
    <row r="71" spans="1:15">
      <c r="A71" s="277" t="s">
        <v>172</v>
      </c>
      <c r="B71" s="277"/>
      <c r="C71" s="277"/>
      <c r="D71" s="277"/>
      <c r="E71" s="277"/>
      <c r="F71" s="277"/>
      <c r="G71" s="277"/>
      <c r="H71" s="277"/>
      <c r="I71" s="277"/>
      <c r="J71" s="276"/>
      <c r="K71" s="276"/>
      <c r="L71" s="276"/>
      <c r="M71" s="276"/>
      <c r="N71" s="276"/>
      <c r="O71" s="276"/>
    </row>
    <row r="72" spans="1:15">
      <c r="A72" s="277"/>
      <c r="B72" s="277"/>
      <c r="C72" s="277"/>
      <c r="D72" s="277"/>
      <c r="E72" s="277"/>
      <c r="F72" s="277"/>
      <c r="G72" s="277"/>
      <c r="H72" s="277"/>
      <c r="I72" s="277"/>
    </row>
    <row r="73" spans="1:15">
      <c r="A73" s="277" t="s">
        <v>173</v>
      </c>
      <c r="B73" s="277"/>
      <c r="C73" s="277"/>
      <c r="D73" s="277"/>
      <c r="E73" s="277"/>
      <c r="F73" s="277"/>
      <c r="G73" s="277"/>
      <c r="H73" s="277"/>
      <c r="I73" s="277"/>
      <c r="J73" s="277"/>
      <c r="K73" s="277"/>
      <c r="L73" s="277"/>
      <c r="M73" s="277"/>
      <c r="N73" s="277"/>
      <c r="O73" s="277"/>
    </row>
    <row r="75" spans="1:15">
      <c r="A75" s="277" t="s">
        <v>174</v>
      </c>
      <c r="B75" s="277"/>
      <c r="C75" s="277"/>
      <c r="D75" s="277"/>
      <c r="E75" s="277"/>
      <c r="F75" s="277"/>
      <c r="G75" s="277"/>
    </row>
    <row r="76" spans="1:15">
      <c r="A76" s="277"/>
      <c r="B76" s="277"/>
      <c r="C76" s="277"/>
      <c r="D76" s="277"/>
      <c r="E76" s="277"/>
      <c r="F76" s="277"/>
      <c r="G76" s="277"/>
    </row>
    <row r="77" spans="1:15">
      <c r="A77" s="276"/>
      <c r="B77" s="276"/>
      <c r="C77" s="276"/>
      <c r="D77" s="276"/>
      <c r="E77" s="276"/>
      <c r="F77" s="276"/>
      <c r="G77" s="276"/>
    </row>
    <row r="78" spans="1:15">
      <c r="A78" s="292" t="s">
        <v>175</v>
      </c>
      <c r="B78" s="298"/>
      <c r="C78" s="298"/>
      <c r="D78" s="298"/>
      <c r="E78" s="298"/>
      <c r="F78" s="298"/>
      <c r="G78" s="298"/>
      <c r="H78" s="298"/>
      <c r="I78" s="298"/>
      <c r="J78" s="298"/>
      <c r="K78" s="298"/>
      <c r="L78" s="298"/>
      <c r="M78" s="298"/>
      <c r="N78" s="298"/>
      <c r="O78" s="298"/>
    </row>
    <row r="79" spans="1:15">
      <c r="A79" s="277"/>
      <c r="B79" s="299"/>
      <c r="C79" s="277"/>
      <c r="D79" s="277"/>
      <c r="E79" s="277"/>
      <c r="F79" s="277"/>
      <c r="G79" s="277"/>
    </row>
    <row r="80" spans="1:15">
      <c r="A80" s="300" t="s">
        <v>176</v>
      </c>
      <c r="B80" s="299"/>
      <c r="C80" s="278"/>
      <c r="D80" s="277"/>
      <c r="E80" s="277"/>
      <c r="F80" s="277"/>
      <c r="G80" s="277"/>
    </row>
    <row r="81" spans="1:7">
      <c r="A81" s="277" t="s">
        <v>177</v>
      </c>
      <c r="B81" s="299"/>
      <c r="C81" s="277"/>
      <c r="D81" s="277"/>
      <c r="E81" s="277"/>
      <c r="F81" s="277"/>
      <c r="G81" s="277"/>
    </row>
    <row r="82" spans="1:7">
      <c r="A82" s="277" t="s">
        <v>178</v>
      </c>
      <c r="B82" s="278"/>
      <c r="C82" s="277"/>
      <c r="D82" s="277"/>
      <c r="E82" s="277"/>
      <c r="F82" s="277"/>
      <c r="G82" s="277"/>
    </row>
    <row r="83" spans="1:7">
      <c r="A83" s="296" t="s">
        <v>179</v>
      </c>
      <c r="B83" s="301"/>
      <c r="C83" s="301"/>
      <c r="D83" s="301"/>
      <c r="E83" s="301"/>
      <c r="F83" s="301"/>
      <c r="G83" s="301"/>
    </row>
    <row r="84" spans="1:7" ht="14.25">
      <c r="A84" s="302"/>
      <c r="B84" s="303"/>
      <c r="C84" s="304"/>
      <c r="D84" s="305"/>
      <c r="E84" s="305"/>
      <c r="F84" s="277"/>
      <c r="G84" s="277"/>
    </row>
    <row r="85" spans="1:7">
      <c r="A85" s="276"/>
      <c r="B85" s="276"/>
      <c r="C85" s="276"/>
      <c r="D85" s="276"/>
      <c r="E85" s="276"/>
      <c r="F85" s="276"/>
      <c r="G85" s="276"/>
    </row>
    <row r="86" spans="1:7">
      <c r="A86" s="539" t="s">
        <v>180</v>
      </c>
      <c r="B86" s="539"/>
      <c r="C86" s="539"/>
      <c r="D86" s="539"/>
      <c r="E86" s="539"/>
      <c r="F86" s="539"/>
      <c r="G86" s="539"/>
    </row>
    <row r="87" spans="1:7" ht="15">
      <c r="A87" s="439" t="s">
        <v>181</v>
      </c>
      <c r="B87" s="440"/>
      <c r="C87" s="440"/>
      <c r="D87" s="440"/>
      <c r="E87" s="440"/>
      <c r="F87" s="440"/>
      <c r="G87" s="440"/>
    </row>
  </sheetData>
  <sheetProtection algorithmName="SHA-512" hashValue="JOhUb86jGtNrxX7QYIq9QdRWVlWwqrT/VQX9WkxHMd5bE22OaxIki/ICn42SLJjscynFgR+Roii/HzpRvqnKGw==" saltValue="NQrK3GOmrJimSYT58nM4CA==" spinCount="100000" sheet="1" objects="1" scenarios="1"/>
  <mergeCells count="8">
    <mergeCell ref="A86:G86"/>
    <mergeCell ref="A8:J8"/>
    <mergeCell ref="A25:O25"/>
    <mergeCell ref="A13:N13"/>
    <mergeCell ref="A55:O55"/>
    <mergeCell ref="A48:O48"/>
    <mergeCell ref="A69:N69"/>
    <mergeCell ref="A51:O51"/>
  </mergeCells>
  <dataValidations disablePrompts="1" count="1">
    <dataValidation type="list" allowBlank="1" showInputMessage="1" showErrorMessage="1" sqref="B12" xr:uid="{1B7B3AAC-CFB8-4A75-AFE1-437A6C0018EA}">
      <formula1>MijnOpties</formula1>
    </dataValidation>
  </dataValidations>
  <pageMargins left="0.23622047244094491" right="0.23622047244094491" top="0.23622047244094491" bottom="0.23622047244094491" header="0.31496062992125984" footer="0.31496062992125984"/>
  <pageSetup paperSize="9" scale="47" fitToHeight="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
    <tabColor rgb="FF00B0F0"/>
    <pageSetUpPr fitToPage="1"/>
  </sheetPr>
  <dimension ref="A1:AO18"/>
  <sheetViews>
    <sheetView showGridLines="0" zoomScale="120" zoomScaleNormal="120" workbookViewId="0">
      <selection activeCell="D4" sqref="D4:E4"/>
    </sheetView>
  </sheetViews>
  <sheetFormatPr defaultColWidth="9" defaultRowHeight="12"/>
  <cols>
    <col min="1" max="1" width="3.625" style="14" customWidth="1"/>
    <col min="2" max="2" width="17.125" style="15" customWidth="1"/>
    <col min="3" max="3" width="2.375" style="15" customWidth="1"/>
    <col min="4" max="4" width="33.125" style="15" customWidth="1"/>
    <col min="5" max="5" width="20.875" style="15" customWidth="1"/>
    <col min="6" max="6" width="13" style="15" customWidth="1"/>
    <col min="7" max="7" width="2.375" style="15" customWidth="1"/>
    <col min="8" max="8" width="30.5" style="15" customWidth="1"/>
    <col min="9" max="9" width="1.875" style="15" customWidth="1"/>
    <col min="10" max="10" width="10.625" style="15" customWidth="1"/>
    <col min="11" max="11" width="2.625" style="15" customWidth="1"/>
    <col min="12" max="12" width="10.625" style="15" customWidth="1"/>
    <col min="13" max="13" width="2.625" style="15" customWidth="1"/>
    <col min="14" max="14" width="10.625" style="15" customWidth="1"/>
    <col min="15" max="15" width="2.625" style="15" customWidth="1"/>
    <col min="16" max="16" width="18.125" style="145" customWidth="1"/>
    <col min="17" max="17" width="2.625" style="15" customWidth="1"/>
    <col min="18" max="18" width="11.125" style="14" bestFit="1" customWidth="1"/>
    <col min="19" max="19" width="2.625" style="14" customWidth="1"/>
    <col min="20" max="20" width="49.125" style="14" bestFit="1" customWidth="1"/>
    <col min="21" max="41" width="38.125" style="14" customWidth="1"/>
    <col min="42" max="16384" width="9" style="15"/>
  </cols>
  <sheetData>
    <row r="1" spans="2:20">
      <c r="B1" s="183"/>
      <c r="C1" s="183"/>
      <c r="D1" s="183"/>
      <c r="E1" s="183"/>
      <c r="F1" s="183"/>
      <c r="G1" s="183"/>
      <c r="H1" s="183"/>
      <c r="I1" s="183"/>
      <c r="J1" s="183"/>
      <c r="K1" s="183"/>
      <c r="L1" s="183"/>
      <c r="M1" s="183"/>
      <c r="N1" s="183"/>
      <c r="O1" s="183"/>
      <c r="P1" s="184"/>
      <c r="Q1" s="183"/>
      <c r="R1" s="185"/>
      <c r="S1" s="185"/>
      <c r="T1" s="185"/>
    </row>
    <row r="2" spans="2:20" s="14" customFormat="1" ht="20.25">
      <c r="B2" s="186" t="s">
        <v>182</v>
      </c>
      <c r="C2" s="186"/>
      <c r="D2" s="185"/>
      <c r="E2" s="185"/>
      <c r="F2" s="185"/>
      <c r="G2" s="185"/>
      <c r="H2" s="185"/>
      <c r="I2" s="185"/>
      <c r="J2" s="185"/>
      <c r="K2" s="185"/>
      <c r="L2" s="185"/>
      <c r="M2" s="185"/>
      <c r="N2" s="185"/>
      <c r="O2" s="185"/>
      <c r="P2" s="187"/>
      <c r="Q2" s="185"/>
      <c r="R2" s="185"/>
      <c r="S2" s="185"/>
      <c r="T2" s="185"/>
    </row>
    <row r="3" spans="2:20" s="14" customFormat="1" ht="12.75" thickBot="1">
      <c r="B3" s="185"/>
      <c r="C3" s="185"/>
      <c r="D3" s="185"/>
      <c r="E3" s="185"/>
      <c r="F3" s="185"/>
      <c r="G3" s="185"/>
      <c r="H3" s="185"/>
      <c r="I3" s="185"/>
      <c r="J3" s="185"/>
      <c r="K3" s="185"/>
      <c r="L3" s="185"/>
      <c r="M3" s="185"/>
      <c r="N3" s="185"/>
      <c r="O3" s="185"/>
      <c r="P3" s="187"/>
      <c r="Q3" s="185"/>
      <c r="R3" s="185"/>
      <c r="S3" s="185"/>
      <c r="T3" s="185"/>
    </row>
    <row r="4" spans="2:20">
      <c r="B4" s="549" t="s">
        <v>183</v>
      </c>
      <c r="C4" s="550"/>
      <c r="D4" s="553">
        <f>'Liquidity requirement Serial ad'!C3</f>
        <v>0</v>
      </c>
      <c r="E4" s="554"/>
      <c r="F4" s="188"/>
      <c r="G4" s="188"/>
      <c r="H4" s="188"/>
      <c r="I4" s="188"/>
      <c r="J4" s="185"/>
      <c r="K4" s="185"/>
      <c r="L4" s="185"/>
      <c r="M4" s="185"/>
      <c r="N4" s="185"/>
      <c r="O4" s="185"/>
      <c r="P4" s="187"/>
      <c r="Q4" s="185"/>
      <c r="R4" s="185"/>
      <c r="S4" s="185"/>
      <c r="T4" s="185"/>
    </row>
    <row r="5" spans="2:20" ht="12.75" thickBot="1">
      <c r="B5" s="551" t="s">
        <v>184</v>
      </c>
      <c r="C5" s="552"/>
      <c r="D5" s="555"/>
      <c r="E5" s="556"/>
      <c r="F5" s="188"/>
      <c r="G5" s="188"/>
      <c r="H5" s="188"/>
      <c r="I5" s="188"/>
      <c r="J5" s="185"/>
      <c r="K5" s="185"/>
      <c r="L5" s="185"/>
      <c r="M5" s="185"/>
      <c r="N5" s="185"/>
      <c r="O5" s="185"/>
      <c r="P5" s="187"/>
      <c r="Q5" s="185"/>
      <c r="R5" s="185"/>
      <c r="S5" s="185"/>
      <c r="T5" s="185"/>
    </row>
    <row r="6" spans="2:20" s="68" customFormat="1" ht="12.75">
      <c r="B6" s="189"/>
      <c r="C6" s="189"/>
      <c r="D6" s="190"/>
      <c r="E6" s="190"/>
      <c r="F6" s="189"/>
      <c r="G6" s="189"/>
      <c r="H6" s="189"/>
      <c r="I6" s="189"/>
      <c r="J6" s="191"/>
      <c r="K6" s="191"/>
      <c r="L6" s="191"/>
      <c r="M6" s="191"/>
      <c r="N6" s="191"/>
      <c r="O6" s="191"/>
      <c r="P6" s="192"/>
      <c r="Q6" s="191"/>
      <c r="R6" s="191"/>
      <c r="S6" s="191"/>
      <c r="T6" s="191"/>
    </row>
    <row r="7" spans="2:20" s="14" customFormat="1" ht="12.75" thickBot="1">
      <c r="B7" s="185" t="s">
        <v>185</v>
      </c>
      <c r="C7" s="185"/>
      <c r="D7" s="185"/>
      <c r="E7" s="185"/>
      <c r="F7" s="185"/>
      <c r="G7" s="185"/>
      <c r="H7" s="185"/>
      <c r="I7" s="185"/>
      <c r="J7" s="185"/>
      <c r="K7" s="185"/>
      <c r="L7" s="185"/>
      <c r="M7" s="185"/>
      <c r="N7" s="185"/>
      <c r="O7" s="185"/>
      <c r="P7" s="187"/>
      <c r="Q7" s="185"/>
      <c r="R7" s="185"/>
      <c r="S7" s="185"/>
      <c r="T7" s="185"/>
    </row>
    <row r="8" spans="2:20" ht="27.75" customHeight="1">
      <c r="B8" s="545" t="s">
        <v>186</v>
      </c>
      <c r="C8" s="546"/>
      <c r="D8" s="546"/>
      <c r="E8" s="546"/>
      <c r="F8" s="546"/>
      <c r="G8" s="546"/>
      <c r="H8" s="546"/>
      <c r="I8" s="193"/>
      <c r="J8" s="557" t="s">
        <v>187</v>
      </c>
      <c r="K8" s="194"/>
      <c r="L8" s="559" t="s">
        <v>188</v>
      </c>
      <c r="M8" s="194"/>
      <c r="N8" s="559" t="s">
        <v>189</v>
      </c>
      <c r="O8" s="195"/>
      <c r="P8" s="561" t="s">
        <v>190</v>
      </c>
      <c r="Q8" s="195"/>
      <c r="R8" s="563" t="s">
        <v>191</v>
      </c>
      <c r="S8" s="185"/>
      <c r="T8" s="547" t="s">
        <v>192</v>
      </c>
    </row>
    <row r="9" spans="2:20" ht="12.75" thickBot="1">
      <c r="B9" s="477" t="s">
        <v>33</v>
      </c>
      <c r="C9" s="478"/>
      <c r="D9" s="478" t="s">
        <v>193</v>
      </c>
      <c r="E9" s="478" t="s">
        <v>194</v>
      </c>
      <c r="F9" s="196" t="s">
        <v>195</v>
      </c>
      <c r="G9" s="196"/>
      <c r="H9" s="196" t="s">
        <v>196</v>
      </c>
      <c r="I9" s="196"/>
      <c r="J9" s="558"/>
      <c r="K9" s="197"/>
      <c r="L9" s="560"/>
      <c r="M9" s="197"/>
      <c r="N9" s="560"/>
      <c r="O9" s="198"/>
      <c r="P9" s="562"/>
      <c r="Q9" s="198"/>
      <c r="R9" s="564"/>
      <c r="S9" s="185"/>
      <c r="T9" s="548"/>
    </row>
    <row r="10" spans="2:20">
      <c r="B10" s="356">
        <f>'Serial adaptation'!penvoerder_naam</f>
        <v>0</v>
      </c>
      <c r="C10" s="207"/>
      <c r="D10" s="357">
        <f>'Serial adaptation'!penvoerder_naam</f>
        <v>0</v>
      </c>
      <c r="E10" s="208" t="str">
        <f>'Serial adaptation'!E8</f>
        <v>Serial adaption</v>
      </c>
      <c r="F10" s="337" t="str">
        <f>'Serial adaptation'!E7</f>
        <v>[Choose]</v>
      </c>
      <c r="G10" s="199"/>
      <c r="H10" s="337" t="str">
        <f>'Serial adaptation'!E11</f>
        <v>Direct labour costs plus fixed surcharge (50%)</v>
      </c>
      <c r="I10" s="200"/>
      <c r="J10" s="201">
        <f>'Serial adaptation'!projectkosten</f>
        <v>0</v>
      </c>
      <c r="K10" s="202"/>
      <c r="L10" s="201">
        <f>'Serial adaptation'!H252</f>
        <v>0</v>
      </c>
      <c r="M10" s="202"/>
      <c r="N10" s="201">
        <f>'Serial adaptation'!H255</f>
        <v>0</v>
      </c>
      <c r="O10" s="203"/>
      <c r="P10" s="204" t="str">
        <f>IFERROR(IF(N10&gt;0,MIN(L10,N10)/J10,""),"-")</f>
        <v/>
      </c>
      <c r="Q10" s="203"/>
      <c r="R10" s="205">
        <f>IFERROR(J10-MIN(L10,N10),"")</f>
        <v>0</v>
      </c>
      <c r="S10" s="185"/>
      <c r="T10" s="206" t="str">
        <f>IF(N10&gt;L10,"De gevraagde subsidie is hoger dan de maximale subsidie.","")</f>
        <v/>
      </c>
    </row>
    <row r="11" spans="2:20">
      <c r="B11" s="356">
        <f>'Prototype development'!penvoerder_naam</f>
        <v>0</v>
      </c>
      <c r="C11" s="207"/>
      <c r="D11" s="357">
        <f>'Prototype development'!penvoerder_naam</f>
        <v>0</v>
      </c>
      <c r="E11" s="207" t="str">
        <f>'Prototype development'!D8</f>
        <v>Prototype development</v>
      </c>
      <c r="F11" s="208" t="str">
        <f>'Prototype development'!D7</f>
        <v>[Choose]</v>
      </c>
      <c r="G11" s="209"/>
      <c r="H11" s="355" t="str">
        <f>'Prototype development'!D11</f>
        <v>Direct labour costs plus fixed surcharge (50%)</v>
      </c>
      <c r="I11" s="200"/>
      <c r="J11" s="201">
        <f>'Prototype development'!projectkosten</f>
        <v>0</v>
      </c>
      <c r="K11" s="210"/>
      <c r="L11" s="201">
        <f>'Prototype development'!G74</f>
        <v>0</v>
      </c>
      <c r="M11" s="210"/>
      <c r="N11" s="201">
        <f>'Prototype development'!G77</f>
        <v>0</v>
      </c>
      <c r="O11" s="211"/>
      <c r="P11" s="212" t="str">
        <f>IFERROR(IF(N11&gt;0,MIN(L11,N11)/J11,""),"-")</f>
        <v/>
      </c>
      <c r="Q11" s="211"/>
      <c r="R11" s="201">
        <f t="shared" ref="R11:R14" si="0">IFERROR(J11-N11,"")</f>
        <v>0</v>
      </c>
      <c r="S11" s="185"/>
      <c r="T11" s="213" t="str">
        <f>IF(N11&gt;L11,"De gevraagde subsidie is hoger dan de maximale subsidie.","")</f>
        <v/>
      </c>
    </row>
    <row r="12" spans="2:20">
      <c r="B12" s="243" t="s">
        <v>197</v>
      </c>
      <c r="C12" s="207"/>
      <c r="D12" s="208" t="str" cm="1">
        <f t="array" aca="1" ref="D12" ca="1">IF(INDIRECT(Lijsten!$H7&amp;D$18)=0,"",INDIRECT(Lijsten!$H7&amp;D$18))</f>
        <v/>
      </c>
      <c r="E12" s="185"/>
      <c r="F12" s="209"/>
      <c r="G12" s="209"/>
      <c r="H12" s="209" t="str" cm="1">
        <f t="array" aca="1" ref="H12" ca="1">IF($J12=0,"",IF(INDIRECT(Lijsten!$H7&amp;H$18)=Lijsten!$A$5,"Nog geen keuze gemaakt",INDIRECT(Lijsten!$H7&amp;H$18)))</f>
        <v/>
      </c>
      <c r="I12" s="200"/>
      <c r="J12" s="201" cm="1">
        <f t="array" aca="1" ref="J12" ca="1">INDIRECT(Lijsten!$H7&amp;J$18)</f>
        <v>0</v>
      </c>
      <c r="K12" s="210"/>
      <c r="L12" s="201">
        <v>0</v>
      </c>
      <c r="M12" s="210"/>
      <c r="N12" s="201" cm="1">
        <f t="array" aca="1" ref="N12" ca="1">INDIRECT(Lijsten!$H7&amp;N$18)</f>
        <v>0</v>
      </c>
      <c r="O12" s="211"/>
      <c r="P12" s="212" t="str">
        <f t="shared" ref="P12:P16" ca="1" si="1">IFERROR(IF(N12&gt;0,MIN(L12,N12)/J12,""),"-")</f>
        <v/>
      </c>
      <c r="Q12" s="211"/>
      <c r="R12" s="201">
        <f t="shared" ca="1" si="0"/>
        <v>0</v>
      </c>
      <c r="S12" s="185"/>
      <c r="T12" s="213" t="str">
        <f t="shared" ref="T12:T14" ca="1" si="2">IF(N12&gt;L12,"De gevraagde subsidie is hoger dan de maximale subsidie.","")</f>
        <v/>
      </c>
    </row>
    <row r="13" spans="2:20">
      <c r="B13" s="243" t="s">
        <v>198</v>
      </c>
      <c r="C13" s="207"/>
      <c r="D13" s="208" t="str" cm="1">
        <f t="array" aca="1" ref="D13" ca="1">IF(INDIRECT(Lijsten!$H8&amp;D$18)=0,"",INDIRECT(Lijsten!$H8&amp;D$18))</f>
        <v/>
      </c>
      <c r="E13" s="185"/>
      <c r="F13" s="209"/>
      <c r="G13" s="209"/>
      <c r="H13" s="209" t="str" cm="1">
        <f t="array" aca="1" ref="H13" ca="1">IF($J13=0,"",IF(INDIRECT(Lijsten!$H8&amp;H$18)=Lijsten!$A$5,"Nog geen keuze gemaakt",INDIRECT(Lijsten!$H8&amp;H$18)))</f>
        <v/>
      </c>
      <c r="I13" s="200"/>
      <c r="J13" s="201" cm="1">
        <f t="array" aca="1" ref="J13" ca="1">INDIRECT(Lijsten!$H8&amp;J$18)</f>
        <v>0</v>
      </c>
      <c r="K13" s="210"/>
      <c r="L13" s="201">
        <v>0</v>
      </c>
      <c r="M13" s="210"/>
      <c r="N13" s="201" cm="1">
        <f t="array" aca="1" ref="N13" ca="1">INDIRECT(Lijsten!$H8&amp;N$18)</f>
        <v>0</v>
      </c>
      <c r="O13" s="211"/>
      <c r="P13" s="212" t="str">
        <f t="shared" ca="1" si="1"/>
        <v/>
      </c>
      <c r="Q13" s="211"/>
      <c r="R13" s="201">
        <f t="shared" ca="1" si="0"/>
        <v>0</v>
      </c>
      <c r="S13" s="185"/>
      <c r="T13" s="213" t="str">
        <f t="shared" ca="1" si="2"/>
        <v/>
      </c>
    </row>
    <row r="14" spans="2:20" ht="12.75" thickBot="1">
      <c r="B14" s="244" t="s">
        <v>199</v>
      </c>
      <c r="C14" s="214"/>
      <c r="D14" s="215" t="str" cm="1">
        <f t="array" aca="1" ref="D14" ca="1">IF(INDIRECT(Lijsten!$H9&amp;D$18)=0,"",INDIRECT(Lijsten!$H9&amp;D$18))</f>
        <v/>
      </c>
      <c r="E14" s="216"/>
      <c r="F14" s="217"/>
      <c r="G14" s="217"/>
      <c r="H14" s="217" t="str" cm="1">
        <f t="array" aca="1" ref="H14" ca="1">IF($J14=0,"",IF(INDIRECT(Lijsten!$H9&amp;H$18)=Lijsten!$A$5,"Nog geen keuze gemaakt",INDIRECT(Lijsten!$H9&amp;H$18)))</f>
        <v/>
      </c>
      <c r="I14" s="200"/>
      <c r="J14" s="218" cm="1">
        <f t="array" aca="1" ref="J14" ca="1">INDIRECT(Lijsten!$H9&amp;J$18)</f>
        <v>0</v>
      </c>
      <c r="K14" s="219"/>
      <c r="L14" s="218">
        <v>0</v>
      </c>
      <c r="M14" s="219"/>
      <c r="N14" s="218" cm="1">
        <f t="array" aca="1" ref="N14" ca="1">INDIRECT(Lijsten!$H9&amp;N$18)</f>
        <v>0</v>
      </c>
      <c r="O14" s="220"/>
      <c r="P14" s="221" t="str">
        <f t="shared" ca="1" si="1"/>
        <v/>
      </c>
      <c r="Q14" s="220"/>
      <c r="R14" s="218">
        <f t="shared" ca="1" si="0"/>
        <v>0</v>
      </c>
      <c r="S14" s="185"/>
      <c r="T14" s="222" t="str">
        <f t="shared" ca="1" si="2"/>
        <v/>
      </c>
    </row>
    <row r="15" spans="2:20" ht="12.75" thickBot="1">
      <c r="B15" s="185"/>
      <c r="C15" s="185"/>
      <c r="D15" s="185"/>
      <c r="E15" s="185"/>
      <c r="F15" s="185"/>
      <c r="G15" s="185"/>
      <c r="H15" s="185"/>
      <c r="I15" s="200"/>
      <c r="J15" s="223"/>
      <c r="K15" s="224"/>
      <c r="L15" s="223"/>
      <c r="M15" s="224"/>
      <c r="N15" s="225"/>
      <c r="O15" s="211"/>
      <c r="P15" s="226"/>
      <c r="Q15" s="211"/>
      <c r="R15" s="185"/>
      <c r="S15" s="185"/>
      <c r="T15" s="227" t="str">
        <f t="shared" ref="T15" si="3">IF(N15&gt;J15,"De gevraagde subsidie is hoger dan de maximale subsidie.","")</f>
        <v/>
      </c>
    </row>
    <row r="16" spans="2:20" ht="12.75" thickBot="1">
      <c r="B16" s="185"/>
      <c r="C16" s="185"/>
      <c r="D16" s="185"/>
      <c r="E16" s="185"/>
      <c r="F16" s="183"/>
      <c r="G16" s="183"/>
      <c r="H16" s="183"/>
      <c r="I16" s="228" t="s">
        <v>200</v>
      </c>
      <c r="J16" s="229">
        <f ca="1">SUM(J10:J14)</f>
        <v>0</v>
      </c>
      <c r="K16" s="230"/>
      <c r="L16" s="229">
        <f>L10+L11+L12+L13+L14</f>
        <v>0</v>
      </c>
      <c r="M16" s="230"/>
      <c r="N16" s="229">
        <f ca="1">SUM(N10:N14)</f>
        <v>0</v>
      </c>
      <c r="O16" s="231"/>
      <c r="P16" s="232" t="str">
        <f t="shared" ca="1" si="1"/>
        <v/>
      </c>
      <c r="Q16" s="231"/>
      <c r="R16" s="229">
        <f ca="1">J16-MIN(L16,N16)</f>
        <v>0</v>
      </c>
      <c r="S16" s="185"/>
      <c r="T16" s="222"/>
    </row>
    <row r="17" spans="2:14" s="14" customFormat="1">
      <c r="F17" s="16">
        <f>COUNTIF(F10:F14,Lijsten!$A$8)</f>
        <v>0</v>
      </c>
      <c r="G17" s="16"/>
      <c r="H17" s="16"/>
      <c r="I17" s="16"/>
    </row>
    <row r="18" spans="2:14" s="81" customFormat="1" ht="60" hidden="1">
      <c r="B18" s="90" t="s">
        <v>201</v>
      </c>
      <c r="D18" s="91" t="s">
        <v>202</v>
      </c>
      <c r="F18" s="91" t="s">
        <v>203</v>
      </c>
      <c r="G18" s="91"/>
      <c r="H18" s="91" t="s">
        <v>204</v>
      </c>
      <c r="J18" s="81" t="s">
        <v>205</v>
      </c>
      <c r="L18" s="81" t="s">
        <v>206</v>
      </c>
      <c r="N18" s="81" t="s">
        <v>207</v>
      </c>
    </row>
  </sheetData>
  <sheetProtection algorithmName="SHA-512" hashValue="xmX6q/lM7weUGp7afxieis9+gsAt0TPJ09h7DM9tdbdp/ZVYhf3BeVwWR7bl/4tA+Vz+5CQps7iAERv9XHJmAw==" saltValue="9CMrFvSPdcLnRaWF7hVINA==" spinCount="100000" sheet="1" objects="1" scenarios="1"/>
  <mergeCells count="11">
    <mergeCell ref="B8:H8"/>
    <mergeCell ref="T8:T9"/>
    <mergeCell ref="B4:C4"/>
    <mergeCell ref="B5:C5"/>
    <mergeCell ref="D4:E4"/>
    <mergeCell ref="D5:E5"/>
    <mergeCell ref="J8:J9"/>
    <mergeCell ref="N8:N9"/>
    <mergeCell ref="P8:P9"/>
    <mergeCell ref="R8:R9"/>
    <mergeCell ref="L8:L9"/>
  </mergeCells>
  <phoneticPr fontId="3" type="noConversion"/>
  <conditionalFormatting sqref="I10:I14">
    <cfRule type="cellIs" dxfId="41" priority="13" operator="equal">
      <formula>"[maak een keuze]"</formula>
    </cfRule>
  </conditionalFormatting>
  <conditionalFormatting sqref="I15">
    <cfRule type="cellIs" dxfId="40" priority="12" stopIfTrue="1" operator="equal">
      <formula>"[maak een keuze]"</formula>
    </cfRule>
  </conditionalFormatting>
  <conditionalFormatting sqref="N10">
    <cfRule type="cellIs" dxfId="39" priority="10" operator="greaterThan">
      <formula>$L$10</formula>
    </cfRule>
  </conditionalFormatting>
  <conditionalFormatting sqref="N11">
    <cfRule type="cellIs" dxfId="38" priority="9" operator="greaterThan">
      <formula>$L$11</formula>
    </cfRule>
  </conditionalFormatting>
  <conditionalFormatting sqref="N12">
    <cfRule type="cellIs" dxfId="37" priority="8" operator="greaterThan">
      <formula>$L$12</formula>
    </cfRule>
  </conditionalFormatting>
  <conditionalFormatting sqref="N13">
    <cfRule type="cellIs" dxfId="36" priority="7" operator="greaterThan">
      <formula>$L$13</formula>
    </cfRule>
  </conditionalFormatting>
  <conditionalFormatting sqref="N14">
    <cfRule type="cellIs" dxfId="35" priority="6" operator="greaterThan">
      <formula>$L$14</formula>
    </cfRule>
  </conditionalFormatting>
  <dataValidations count="1">
    <dataValidation operator="lessThanOrEqual" allowBlank="1" showInputMessage="1" showErrorMessage="1" sqref="P10:P14 P16" xr:uid="{00000000-0002-0000-0A00-000000000000}"/>
  </dataValidations>
  <pageMargins left="1" right="1" top="1" bottom="1" header="0.5" footer="0.5"/>
  <pageSetup paperSize="9" scale="47" fitToHeight="0" orientation="landscape" r:id="rId1"/>
  <headerFooter alignWithMargins="0">
    <oddHeader>&amp;A</oddHeader>
  </headerFooter>
  <rowBreaks count="1" manualBreakCount="1">
    <brk id="21"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codeName="Blad4">
    <tabColor rgb="FFFFFF00"/>
    <pageSetUpPr fitToPage="1"/>
  </sheetPr>
  <dimension ref="A1:J82"/>
  <sheetViews>
    <sheetView showGridLines="0" zoomScale="130" zoomScaleNormal="130" workbookViewId="0">
      <selection activeCell="D10" sqref="D10"/>
    </sheetView>
  </sheetViews>
  <sheetFormatPr defaultColWidth="10.875" defaultRowHeight="15.6" customHeight="1"/>
  <cols>
    <col min="1" max="1" width="3.625" customWidth="1"/>
    <col min="2" max="2" width="40.375" customWidth="1"/>
    <col min="3" max="3" width="21.5" customWidth="1"/>
    <col min="4" max="4" width="42.625" customWidth="1"/>
    <col min="5" max="5" width="21.5" customWidth="1"/>
    <col min="6" max="6" width="23.125" customWidth="1"/>
    <col min="7" max="7" width="12.375" style="170" customWidth="1"/>
    <col min="8" max="8" width="10.875" customWidth="1"/>
    <col min="9" max="9" width="10.875" hidden="1" customWidth="1"/>
    <col min="10" max="11" width="10.875" customWidth="1"/>
  </cols>
  <sheetData>
    <row r="1" spans="1:10" ht="15.6" customHeight="1" thickBot="1">
      <c r="A1" s="47"/>
      <c r="B1" s="5"/>
      <c r="C1" s="5"/>
      <c r="D1" s="5"/>
      <c r="E1" s="5"/>
      <c r="F1" s="33"/>
      <c r="G1" s="154"/>
    </row>
    <row r="2" spans="1:10" ht="12">
      <c r="A2" s="1"/>
      <c r="B2" s="69" t="s">
        <v>208</v>
      </c>
      <c r="C2" s="338"/>
      <c r="D2" s="71" t="s">
        <v>209</v>
      </c>
      <c r="E2" s="2"/>
      <c r="F2" s="3"/>
      <c r="G2" s="155"/>
    </row>
    <row r="3" spans="1:10" ht="12">
      <c r="A3" s="6"/>
      <c r="B3" s="70" t="s">
        <v>210</v>
      </c>
      <c r="C3" s="339"/>
      <c r="D3" s="72" t="s">
        <v>211</v>
      </c>
      <c r="E3" s="7"/>
      <c r="F3" s="8"/>
      <c r="G3" s="155"/>
    </row>
    <row r="4" spans="1:10" ht="12">
      <c r="A4" s="6"/>
      <c r="B4" s="70" t="s">
        <v>212</v>
      </c>
      <c r="C4" s="339"/>
      <c r="D4" s="73">
        <v>45778</v>
      </c>
      <c r="E4" s="48" t="str">
        <f>IF(AND(ISNUMBER(project_startdatum),regeling_datum_openstelling&gt;project_startdatum),"&lt;--  De startdatum ligt voor de openstellingsdatum van de regeling, dit is niet toegestaan.","")</f>
        <v/>
      </c>
      <c r="F4" s="8"/>
      <c r="G4" s="155"/>
    </row>
    <row r="5" spans="1:10" ht="12.75">
      <c r="A5" s="6"/>
      <c r="B5" s="70" t="s">
        <v>213</v>
      </c>
      <c r="C5" s="339"/>
      <c r="D5" s="73">
        <v>46752</v>
      </c>
      <c r="E5" s="138" t="str">
        <f>IF(I5&gt;1," vul de mijlpalenbegroting in","")</f>
        <v xml:space="preserve"> vul de mijlpalenbegroting in</v>
      </c>
      <c r="F5" s="315"/>
      <c r="G5" s="155"/>
      <c r="I5">
        <f>_xlfn.DAYS($D$5,$D$4)/365</f>
        <v>2.6684931506849314</v>
      </c>
    </row>
    <row r="6" spans="1:10" ht="12">
      <c r="A6" s="6"/>
      <c r="B6" s="60"/>
      <c r="C6" s="9"/>
      <c r="D6" s="37"/>
      <c r="E6" s="7"/>
      <c r="F6" s="8"/>
      <c r="G6" s="155"/>
    </row>
    <row r="7" spans="1:10" ht="12">
      <c r="A7" s="6"/>
      <c r="B7" s="65" t="s">
        <v>17</v>
      </c>
      <c r="C7" s="340"/>
      <c r="D7" s="76" t="s">
        <v>214</v>
      </c>
      <c r="G7" s="155"/>
    </row>
    <row r="8" spans="1:10" ht="12.75">
      <c r="A8" s="6"/>
      <c r="B8" s="60" t="s">
        <v>215</v>
      </c>
      <c r="C8" s="9"/>
      <c r="D8" s="76" t="s">
        <v>216</v>
      </c>
      <c r="E8" s="138" t="str">
        <f>IF(D8="Aanpassing serie-matig","geef aantal locomotieven op"," ")</f>
        <v>geef aantal locomotieven op</v>
      </c>
      <c r="G8" s="156"/>
      <c r="I8" t="e" vm="1">
        <f>VLOOKUP(D8,Lijsten!A14:C16,3,FALSE)</f>
        <v>#VALUE!</v>
      </c>
    </row>
    <row r="9" spans="1:10" ht="12.75">
      <c r="A9" s="6"/>
      <c r="B9" s="60" t="s">
        <v>217</v>
      </c>
      <c r="C9" s="9"/>
      <c r="D9" s="354">
        <v>2</v>
      </c>
      <c r="E9" s="138"/>
      <c r="G9" s="156"/>
    </row>
    <row r="10" spans="1:10" ht="12.75" customHeight="1" thickBot="1">
      <c r="A10" s="311"/>
      <c r="B10" s="312" t="s">
        <v>218</v>
      </c>
      <c r="C10" s="341"/>
      <c r="D10" s="313" t="s">
        <v>219</v>
      </c>
      <c r="G10" s="314"/>
      <c r="I10" s="136"/>
    </row>
    <row r="11" spans="1:10" ht="12.75" thickBot="1">
      <c r="A11" s="6"/>
      <c r="B11" s="9"/>
      <c r="C11" s="9"/>
      <c r="D11" s="8"/>
      <c r="E11" s="7"/>
      <c r="F11" s="8"/>
      <c r="G11" s="155"/>
      <c r="I11" s="136"/>
      <c r="J11" s="137"/>
    </row>
    <row r="12" spans="1:10" ht="12">
      <c r="A12" s="6" t="s">
        <v>220</v>
      </c>
      <c r="B12" s="574" t="str">
        <f>IF(D10="[Maak een keuze]","Selecteer eerst hierboven de juiste loonkosten systematiek.",(IF(D10="Directe loonkosten plus vaste opslag-systematiek (50%)","Directe loonkosten",(IF(D10="integrale kostensystematiek","Directe en indirecte kosten op basis van integraal tarief","Directe en indirecte kosten op basis van vast tarief")))))</f>
        <v>Directe loonkosten</v>
      </c>
      <c r="C12" s="575"/>
      <c r="D12" s="576"/>
      <c r="E12" s="576"/>
      <c r="F12" s="576"/>
      <c r="G12" s="157"/>
      <c r="I12" s="136"/>
      <c r="J12" s="137"/>
    </row>
    <row r="13" spans="1:10" ht="12">
      <c r="A13" s="6"/>
      <c r="B13" s="57"/>
      <c r="C13" s="2"/>
      <c r="D13" s="2"/>
      <c r="E13" s="2"/>
      <c r="F13" s="10"/>
      <c r="G13" s="158"/>
      <c r="I13" s="136"/>
      <c r="J13" s="137"/>
    </row>
    <row r="14" spans="1:10" ht="12">
      <c r="A14" s="6"/>
      <c r="B14" s="58" t="s">
        <v>221</v>
      </c>
      <c r="C14" s="11" t="s">
        <v>222</v>
      </c>
      <c r="D14" s="11" t="s">
        <v>223</v>
      </c>
      <c r="E14" s="4" t="s">
        <v>224</v>
      </c>
      <c r="F14" s="11" t="s">
        <v>225</v>
      </c>
      <c r="G14" s="158" t="s">
        <v>226</v>
      </c>
      <c r="I14" s="136"/>
      <c r="J14" s="137"/>
    </row>
    <row r="15" spans="1:10" ht="12">
      <c r="A15" s="1"/>
      <c r="B15" s="59" t="s">
        <v>227</v>
      </c>
      <c r="C15" s="53" t="s">
        <v>216</v>
      </c>
      <c r="D15" s="53">
        <v>1200</v>
      </c>
      <c r="E15" s="272">
        <v>91000</v>
      </c>
      <c r="F15" s="12">
        <v>38</v>
      </c>
      <c r="G15" s="159">
        <f t="shared" ref="G15:G23" si="0">IFERROR(D15*(E15/(F15*52)),0)</f>
        <v>55263.157894736847</v>
      </c>
      <c r="I15" s="136"/>
      <c r="J15" s="137"/>
    </row>
    <row r="16" spans="1:10" ht="12">
      <c r="A16" s="1"/>
      <c r="B16" s="59" t="s">
        <v>228</v>
      </c>
      <c r="C16" s="53" t="s">
        <v>216</v>
      </c>
      <c r="D16" s="53">
        <v>2400</v>
      </c>
      <c r="E16" s="272">
        <v>100000</v>
      </c>
      <c r="F16" s="12">
        <v>38</v>
      </c>
      <c r="G16" s="159">
        <f t="shared" si="0"/>
        <v>121457.48987854252</v>
      </c>
      <c r="I16" s="136"/>
      <c r="J16" s="137"/>
    </row>
    <row r="17" spans="1:10" ht="12">
      <c r="A17" s="1"/>
      <c r="B17" s="59" t="s">
        <v>229</v>
      </c>
      <c r="C17" s="53" t="s">
        <v>216</v>
      </c>
      <c r="D17" s="53"/>
      <c r="E17" s="272"/>
      <c r="F17" s="12"/>
      <c r="G17" s="159">
        <f t="shared" si="0"/>
        <v>0</v>
      </c>
      <c r="I17" s="136"/>
      <c r="J17" s="137"/>
    </row>
    <row r="18" spans="1:10" ht="12">
      <c r="A18" s="1"/>
      <c r="B18" s="59" t="s">
        <v>230</v>
      </c>
      <c r="C18" s="53" t="s">
        <v>231</v>
      </c>
      <c r="D18" s="53">
        <v>2000</v>
      </c>
      <c r="E18" s="272">
        <v>100000</v>
      </c>
      <c r="F18" s="12">
        <v>32</v>
      </c>
      <c r="G18" s="159">
        <f t="shared" si="0"/>
        <v>120192.30769230769</v>
      </c>
      <c r="I18" s="136"/>
      <c r="J18" s="137"/>
    </row>
    <row r="19" spans="1:10" ht="12">
      <c r="A19" s="1"/>
      <c r="B19" s="59" t="s">
        <v>232</v>
      </c>
      <c r="C19" s="53" t="s">
        <v>231</v>
      </c>
      <c r="D19" s="53">
        <v>1000</v>
      </c>
      <c r="E19" s="272">
        <v>120000</v>
      </c>
      <c r="F19" s="12">
        <v>20</v>
      </c>
      <c r="G19" s="159">
        <f t="shared" si="0"/>
        <v>115384.61538461539</v>
      </c>
    </row>
    <row r="20" spans="1:10" ht="12">
      <c r="A20" s="1"/>
      <c r="B20" s="59"/>
      <c r="C20" s="53" t="s">
        <v>233</v>
      </c>
      <c r="D20" s="53"/>
      <c r="E20" s="24"/>
      <c r="F20" s="12"/>
      <c r="G20" s="159">
        <f t="shared" si="0"/>
        <v>0</v>
      </c>
    </row>
    <row r="21" spans="1:10" ht="12">
      <c r="A21" s="1"/>
      <c r="B21" s="59"/>
      <c r="C21" s="53" t="s">
        <v>233</v>
      </c>
      <c r="D21" s="53"/>
      <c r="E21" s="24"/>
      <c r="F21" s="12"/>
      <c r="G21" s="159">
        <f t="shared" si="0"/>
        <v>0</v>
      </c>
    </row>
    <row r="22" spans="1:10" ht="12">
      <c r="A22" s="1"/>
      <c r="B22" s="59"/>
      <c r="C22" s="53" t="s">
        <v>233</v>
      </c>
      <c r="D22" s="53"/>
      <c r="E22" s="24"/>
      <c r="F22" s="12"/>
      <c r="G22" s="159">
        <f t="shared" si="0"/>
        <v>0</v>
      </c>
    </row>
    <row r="23" spans="1:10" ht="12">
      <c r="A23" s="1"/>
      <c r="B23" s="59"/>
      <c r="C23" s="53" t="s">
        <v>233</v>
      </c>
      <c r="D23" s="53"/>
      <c r="E23" s="24"/>
      <c r="F23" s="12"/>
      <c r="G23" s="159">
        <f t="shared" si="0"/>
        <v>0</v>
      </c>
    </row>
    <row r="24" spans="1:10" ht="12.75" thickBot="1">
      <c r="A24" s="6"/>
      <c r="B24" s="57"/>
      <c r="C24" s="2"/>
      <c r="D24" s="2"/>
      <c r="E24" s="25"/>
      <c r="F24" s="26"/>
      <c r="G24" s="160"/>
    </row>
    <row r="25" spans="1:10" ht="12.75" thickBot="1">
      <c r="A25" s="6"/>
      <c r="B25" s="60"/>
      <c r="C25" s="9"/>
      <c r="D25" s="9"/>
      <c r="E25" s="34"/>
      <c r="F25" s="348" t="s">
        <v>234</v>
      </c>
      <c r="G25" s="343">
        <f>SUMIF(C15:C23,Lijsten!A15,G15:G23)</f>
        <v>0</v>
      </c>
    </row>
    <row r="26" spans="1:10" ht="27" customHeight="1" thickBot="1">
      <c r="A26" s="6"/>
      <c r="B26" s="60"/>
      <c r="C26" s="9"/>
      <c r="D26" s="9"/>
      <c r="E26" s="2"/>
      <c r="F26" s="347" t="str">
        <f>IF(D10="Directe loonkosten plus vaste opslag-systematiek (50%)","Opslag algemene kosten (50%)","Geen opslag")</f>
        <v>Opslag algemene kosten (50%)</v>
      </c>
      <c r="G26" s="160">
        <f>0.5*G25</f>
        <v>0</v>
      </c>
    </row>
    <row r="27" spans="1:10" ht="27" customHeight="1" thickBot="1">
      <c r="A27" s="6"/>
      <c r="B27" s="60"/>
      <c r="C27" s="9"/>
      <c r="D27" s="9"/>
      <c r="F27" s="56" t="s">
        <v>235</v>
      </c>
      <c r="G27" s="163">
        <f>SUMIF(C15:C23,Lijsten!A16,G15:G23)</f>
        <v>0</v>
      </c>
    </row>
    <row r="28" spans="1:10" ht="27" customHeight="1" thickBot="1">
      <c r="A28" s="6"/>
      <c r="B28" s="60"/>
      <c r="C28" s="9"/>
      <c r="D28" s="9"/>
      <c r="E28" s="34"/>
      <c r="F28" s="265" t="s">
        <v>236</v>
      </c>
      <c r="G28" s="345">
        <f>G27*0.5</f>
        <v>0</v>
      </c>
    </row>
    <row r="29" spans="1:10" ht="12.75" thickBot="1">
      <c r="A29" s="6"/>
      <c r="B29" s="61"/>
      <c r="C29" s="21"/>
      <c r="D29" s="21"/>
      <c r="E29" s="29"/>
      <c r="F29" s="56" t="s">
        <v>237</v>
      </c>
      <c r="G29" s="163">
        <f>G25+G26+G27+G28</f>
        <v>0</v>
      </c>
    </row>
    <row r="31" spans="1:10" ht="12.75" thickBot="1">
      <c r="A31" s="6"/>
      <c r="B31" s="9"/>
      <c r="C31" s="9"/>
      <c r="D31" s="9"/>
      <c r="E31" s="23"/>
      <c r="F31" s="55"/>
      <c r="G31" s="344"/>
    </row>
    <row r="32" spans="1:10" ht="12">
      <c r="A32" s="6" t="s">
        <v>238</v>
      </c>
      <c r="B32" s="62" t="s">
        <v>239</v>
      </c>
      <c r="C32" s="54"/>
      <c r="D32" s="20"/>
      <c r="E32" s="20"/>
      <c r="F32" s="20"/>
      <c r="G32" s="157"/>
    </row>
    <row r="33" spans="1:7" ht="12">
      <c r="A33" s="6"/>
      <c r="B33" s="57"/>
      <c r="C33" s="2"/>
      <c r="D33" s="2"/>
      <c r="E33" s="2"/>
      <c r="F33" s="10"/>
      <c r="G33" s="158"/>
    </row>
    <row r="34" spans="1:7" ht="12">
      <c r="A34" s="6"/>
      <c r="B34" s="58" t="s">
        <v>240</v>
      </c>
      <c r="C34" s="11" t="s">
        <v>222</v>
      </c>
      <c r="D34" s="11"/>
      <c r="E34" s="11"/>
      <c r="G34" s="158" t="s">
        <v>241</v>
      </c>
    </row>
    <row r="35" spans="1:7" ht="12">
      <c r="A35" s="1"/>
      <c r="B35" s="59" t="s">
        <v>242</v>
      </c>
      <c r="C35" s="53" t="s">
        <v>216</v>
      </c>
      <c r="D35" s="324"/>
      <c r="E35" s="30"/>
      <c r="F35" s="30"/>
      <c r="G35" s="165">
        <v>1000</v>
      </c>
    </row>
    <row r="36" spans="1:7" ht="12">
      <c r="A36" s="1"/>
      <c r="B36" s="323" t="s">
        <v>243</v>
      </c>
      <c r="C36" s="53" t="s">
        <v>216</v>
      </c>
      <c r="D36" s="324"/>
      <c r="E36" s="31"/>
      <c r="F36" s="31"/>
      <c r="G36" s="165">
        <v>35000</v>
      </c>
    </row>
    <row r="37" spans="1:7" ht="12">
      <c r="A37" s="1"/>
      <c r="B37" s="323"/>
      <c r="C37" s="53" t="s">
        <v>233</v>
      </c>
      <c r="D37" s="324"/>
      <c r="E37" s="31"/>
      <c r="F37" s="31"/>
      <c r="G37" s="165">
        <v>0</v>
      </c>
    </row>
    <row r="38" spans="1:7" ht="12">
      <c r="A38" s="1"/>
      <c r="B38" s="323"/>
      <c r="C38" s="53" t="s">
        <v>233</v>
      </c>
      <c r="D38" s="324"/>
      <c r="E38" s="31"/>
      <c r="F38" s="31"/>
      <c r="G38" s="165">
        <v>0</v>
      </c>
    </row>
    <row r="39" spans="1:7" ht="12">
      <c r="A39" s="1"/>
      <c r="B39" s="323"/>
      <c r="C39" s="53" t="s">
        <v>233</v>
      </c>
      <c r="D39" s="324"/>
      <c r="E39" s="31"/>
      <c r="F39" s="31"/>
      <c r="G39" s="165">
        <v>0</v>
      </c>
    </row>
    <row r="40" spans="1:7" ht="12">
      <c r="A40" s="1"/>
      <c r="B40" s="323"/>
      <c r="C40" s="53" t="s">
        <v>233</v>
      </c>
      <c r="D40" s="324"/>
      <c r="E40" s="31"/>
      <c r="F40" s="31"/>
      <c r="G40" s="165">
        <v>0</v>
      </c>
    </row>
    <row r="41" spans="1:7" ht="12">
      <c r="A41" s="1"/>
      <c r="B41" s="323"/>
      <c r="C41" s="53" t="s">
        <v>233</v>
      </c>
      <c r="D41" s="324"/>
      <c r="E41" s="31"/>
      <c r="F41" s="31"/>
      <c r="G41" s="165">
        <v>0</v>
      </c>
    </row>
    <row r="42" spans="1:7" ht="12">
      <c r="A42" s="1"/>
      <c r="B42" s="323"/>
      <c r="C42" s="53" t="s">
        <v>233</v>
      </c>
      <c r="D42" s="324"/>
      <c r="E42" s="32"/>
      <c r="F42" s="32"/>
      <c r="G42" s="165">
        <v>0</v>
      </c>
    </row>
    <row r="43" spans="1:7" ht="12.75" thickBot="1">
      <c r="A43" s="1"/>
      <c r="B43" s="57"/>
      <c r="C43" s="2"/>
      <c r="D43" s="2"/>
      <c r="E43" s="2"/>
      <c r="F43" s="13"/>
      <c r="G43" s="158"/>
    </row>
    <row r="44" spans="1:7" ht="12.75" thickBot="1">
      <c r="A44" s="6"/>
      <c r="B44" s="61"/>
      <c r="C44" s="21"/>
      <c r="D44" s="21"/>
      <c r="E44" s="22"/>
      <c r="F44" s="22" t="s">
        <v>237</v>
      </c>
      <c r="G44" s="163">
        <f>SUM(G35:G42)</f>
        <v>36000</v>
      </c>
    </row>
    <row r="45" spans="1:7" ht="12.75" thickBot="1">
      <c r="A45" s="2"/>
      <c r="B45" s="2"/>
      <c r="C45" s="2"/>
      <c r="D45" s="2"/>
      <c r="E45" s="2"/>
      <c r="F45" s="2"/>
      <c r="G45" s="164"/>
    </row>
    <row r="46" spans="1:7" ht="12">
      <c r="A46" s="6">
        <v>3</v>
      </c>
      <c r="B46" s="62" t="s">
        <v>244</v>
      </c>
      <c r="C46" s="54"/>
      <c r="D46" s="20"/>
      <c r="E46" s="20"/>
      <c r="F46" s="20"/>
      <c r="G46" s="157"/>
    </row>
    <row r="47" spans="1:7" ht="12">
      <c r="A47" s="6"/>
      <c r="B47" s="57"/>
      <c r="C47" s="2"/>
      <c r="D47" s="2"/>
      <c r="E47" s="2"/>
      <c r="F47" s="10"/>
      <c r="G47" s="158"/>
    </row>
    <row r="48" spans="1:7" ht="12">
      <c r="A48" s="6"/>
      <c r="B48" s="58" t="s">
        <v>240</v>
      </c>
      <c r="C48" s="11" t="s">
        <v>245</v>
      </c>
      <c r="D48" s="11"/>
      <c r="E48" s="11"/>
      <c r="G48" s="158" t="s">
        <v>241</v>
      </c>
    </row>
    <row r="49" spans="1:8" ht="12">
      <c r="A49" s="1"/>
      <c r="B49" s="59" t="s">
        <v>246</v>
      </c>
      <c r="C49" s="53" t="s">
        <v>216</v>
      </c>
      <c r="D49" s="324"/>
      <c r="E49" s="30"/>
      <c r="F49" s="30"/>
      <c r="G49" s="165">
        <v>6000</v>
      </c>
    </row>
    <row r="50" spans="1:8" ht="12">
      <c r="A50" s="1"/>
      <c r="B50" s="323" t="s">
        <v>247</v>
      </c>
      <c r="C50" s="53" t="s">
        <v>216</v>
      </c>
      <c r="D50" s="324"/>
      <c r="E50" s="31"/>
      <c r="F50" s="31"/>
      <c r="G50" s="165">
        <v>94000</v>
      </c>
    </row>
    <row r="51" spans="1:8" ht="12">
      <c r="A51" s="1"/>
      <c r="B51" s="323"/>
      <c r="C51" s="53" t="s">
        <v>233</v>
      </c>
      <c r="D51" s="324"/>
      <c r="E51" s="31"/>
      <c r="F51" s="31"/>
      <c r="G51" s="165"/>
    </row>
    <row r="52" spans="1:8" ht="12">
      <c r="A52" s="1"/>
      <c r="B52" s="323"/>
      <c r="C52" s="53" t="s">
        <v>233</v>
      </c>
      <c r="D52" s="324"/>
      <c r="E52" s="31"/>
      <c r="F52" s="31"/>
      <c r="G52" s="165"/>
    </row>
    <row r="53" spans="1:8" ht="12">
      <c r="A53" s="1"/>
      <c r="B53" s="323"/>
      <c r="C53" s="53" t="s">
        <v>233</v>
      </c>
      <c r="D53" s="324"/>
      <c r="E53" s="31"/>
      <c r="F53" s="31"/>
      <c r="G53" s="165">
        <v>0</v>
      </c>
    </row>
    <row r="54" spans="1:8" ht="12">
      <c r="A54" s="1"/>
      <c r="B54" s="323"/>
      <c r="C54" s="53" t="s">
        <v>233</v>
      </c>
      <c r="D54" s="324"/>
      <c r="E54" s="31"/>
      <c r="F54" s="31"/>
      <c r="G54" s="165">
        <v>0</v>
      </c>
    </row>
    <row r="55" spans="1:8" ht="12">
      <c r="A55" s="1"/>
      <c r="B55" s="323"/>
      <c r="C55" s="53" t="s">
        <v>233</v>
      </c>
      <c r="D55" s="324"/>
      <c r="E55" s="31"/>
      <c r="F55" s="31"/>
      <c r="G55" s="165">
        <v>0</v>
      </c>
    </row>
    <row r="56" spans="1:8" ht="12">
      <c r="A56" s="1"/>
      <c r="B56" s="323"/>
      <c r="C56" s="53" t="s">
        <v>233</v>
      </c>
      <c r="D56" s="324"/>
      <c r="E56" s="32"/>
      <c r="F56" s="32"/>
      <c r="G56" s="165">
        <v>0</v>
      </c>
    </row>
    <row r="57" spans="1:8" ht="12.75" thickBot="1">
      <c r="A57" s="1"/>
      <c r="B57" s="349"/>
      <c r="C57" s="2"/>
      <c r="D57" s="2"/>
      <c r="E57" s="2"/>
      <c r="F57" s="13"/>
      <c r="G57" s="158"/>
    </row>
    <row r="58" spans="1:8" ht="12.75" thickBot="1">
      <c r="A58" s="6"/>
      <c r="B58" s="61"/>
      <c r="C58" s="21"/>
      <c r="D58" s="21"/>
      <c r="E58" s="21"/>
      <c r="F58" s="22" t="s">
        <v>237</v>
      </c>
      <c r="G58" s="163">
        <f>SUM(G49:G56)</f>
        <v>100000</v>
      </c>
    </row>
    <row r="59" spans="1:8" ht="12.75" thickBot="1">
      <c r="A59" s="2"/>
      <c r="B59" s="2"/>
      <c r="C59" s="2"/>
      <c r="D59" s="2"/>
      <c r="E59" s="2"/>
      <c r="F59" s="34"/>
      <c r="G59" s="164"/>
    </row>
    <row r="60" spans="1:8" ht="13.5" thickBot="1">
      <c r="A60" s="6"/>
      <c r="B60" s="18" t="s">
        <v>248</v>
      </c>
      <c r="C60" s="18"/>
      <c r="D60" s="18"/>
      <c r="E60" s="18"/>
      <c r="F60" s="19" t="s">
        <v>237</v>
      </c>
      <c r="G60" s="166">
        <f>IF(D10=Lijsten!A5,0,SUM(G27+G44+G58))</f>
        <v>136000</v>
      </c>
      <c r="H60" s="138" t="str">
        <f>IF(AND(SUM(G27,G44,G58)&gt;0,G60=0)," &lt;-- Het totale bedrag wordt (nog) niet bepaald, omdat u boven aan dit blad nog geen loonkosten systematiek heeft gekozen","")</f>
        <v/>
      </c>
    </row>
    <row r="61" spans="1:8" ht="12.75" thickBot="1">
      <c r="A61" s="6"/>
      <c r="B61" s="9"/>
      <c r="C61" s="9"/>
      <c r="D61" s="9"/>
      <c r="E61" s="9"/>
      <c r="F61" s="34"/>
      <c r="G61" s="164"/>
      <c r="H61" s="139"/>
    </row>
    <row r="62" spans="1:8" ht="12">
      <c r="A62" s="6"/>
      <c r="B62" s="62"/>
      <c r="C62" s="54"/>
      <c r="D62" s="54"/>
      <c r="E62" s="54"/>
      <c r="F62" s="350"/>
      <c r="G62" s="351"/>
      <c r="H62" s="139"/>
    </row>
    <row r="63" spans="1:8" ht="12">
      <c r="A63" s="6"/>
      <c r="B63" s="60"/>
      <c r="C63" s="9"/>
      <c r="D63" s="9"/>
      <c r="E63" s="9"/>
      <c r="F63" s="34"/>
      <c r="G63" s="352"/>
      <c r="H63" s="139"/>
    </row>
    <row r="64" spans="1:8" ht="12.75">
      <c r="A64" s="6"/>
      <c r="B64" s="65" t="s">
        <v>249</v>
      </c>
      <c r="C64" s="340"/>
      <c r="D64" s="9"/>
      <c r="E64" s="9"/>
      <c r="G64" s="353" t="e" vm="1">
        <f>VLOOKUP(D8,Subsidiedoel,2,0)</f>
        <v>#VALUE!</v>
      </c>
      <c r="H64" s="138" t="e" vm="2">
        <f>IF(AND($G$60&gt;0,G64=0)," &lt;-- Let op: Bovenaan dit blad is nog geen organisatiesoort geselecteerd.","")</f>
        <v>#VALUE!</v>
      </c>
    </row>
    <row r="65" spans="1:8" ht="12.75">
      <c r="A65" s="6"/>
      <c r="B65" s="65" t="s">
        <v>250</v>
      </c>
      <c r="C65" s="340"/>
      <c r="F65" s="322" t="e" vm="2">
        <f>IF(G64*G60&gt;$I$8,"Maximale subsidie is begrensd op","")</f>
        <v>#VALUE!</v>
      </c>
      <c r="G65" s="175" t="e" vm="2">
        <f>IF(G64*G60&gt;$I$8,$I$8,G64*G60)</f>
        <v>#VALUE!</v>
      </c>
      <c r="H65" s="138"/>
    </row>
    <row r="66" spans="1:8" ht="12.75">
      <c r="A66" s="6"/>
      <c r="B66" s="65" t="s">
        <v>251</v>
      </c>
      <c r="C66" s="340"/>
      <c r="E66" s="55"/>
      <c r="F66" s="34"/>
      <c r="G66" s="167">
        <v>0</v>
      </c>
      <c r="H66" s="138"/>
    </row>
    <row r="67" spans="1:8" ht="12.75">
      <c r="A67" s="6"/>
      <c r="B67" s="65" t="s">
        <v>252</v>
      </c>
      <c r="C67" s="340"/>
      <c r="E67" s="55"/>
      <c r="F67" s="34"/>
      <c r="G67" s="175" t="e" vm="2">
        <f>G65-G66</f>
        <v>#VALUE!</v>
      </c>
      <c r="H67" s="138"/>
    </row>
    <row r="68" spans="1:8" ht="13.5" thickBot="1">
      <c r="A68" s="6"/>
      <c r="B68" s="66" t="s">
        <v>253</v>
      </c>
      <c r="C68" s="342"/>
      <c r="D68" s="67"/>
      <c r="E68" s="56"/>
      <c r="F68" s="56"/>
      <c r="G68" s="168">
        <v>200000</v>
      </c>
      <c r="H68" s="138" t="e" vm="2">
        <f>IF(AND(G65&lt;&gt;0,G68&lt;0.1)," &lt;-- Vul de gevraagde subsidie in.",IF(G68&gt;G67," &lt;-- De gevraagde subsidie is hoger dan de maximale subsidie.",""))</f>
        <v>#VALUE!</v>
      </c>
    </row>
    <row r="69" spans="1:8" ht="12.75" thickBot="1">
      <c r="A69" s="2"/>
      <c r="B69" s="2"/>
      <c r="C69" s="2"/>
      <c r="D69" s="2"/>
      <c r="E69" s="2"/>
      <c r="F69" s="2"/>
      <c r="G69" s="164"/>
    </row>
    <row r="70" spans="1:8" ht="13.5" thickBot="1">
      <c r="A70" s="2"/>
      <c r="B70" s="35" t="s">
        <v>254</v>
      </c>
      <c r="C70" s="36"/>
      <c r="D70" s="36"/>
      <c r="E70" s="36"/>
      <c r="F70" s="36"/>
      <c r="G70" s="169"/>
    </row>
    <row r="71" spans="1:8" ht="12" customHeight="1">
      <c r="B71" s="565"/>
      <c r="C71" s="566"/>
      <c r="D71" s="566"/>
      <c r="E71" s="566"/>
      <c r="F71" s="566"/>
      <c r="G71" s="567"/>
    </row>
    <row r="72" spans="1:8" ht="12" customHeight="1">
      <c r="B72" s="565"/>
      <c r="C72" s="566"/>
      <c r="D72" s="566"/>
      <c r="E72" s="566"/>
      <c r="F72" s="566"/>
      <c r="G72" s="567"/>
    </row>
    <row r="73" spans="1:8" ht="12" customHeight="1">
      <c r="B73" s="565"/>
      <c r="C73" s="566"/>
      <c r="D73" s="566"/>
      <c r="E73" s="566"/>
      <c r="F73" s="566"/>
      <c r="G73" s="567"/>
    </row>
    <row r="74" spans="1:8" ht="12" customHeight="1">
      <c r="B74" s="565"/>
      <c r="C74" s="566"/>
      <c r="D74" s="566"/>
      <c r="E74" s="566"/>
      <c r="F74" s="566"/>
      <c r="G74" s="567"/>
    </row>
    <row r="75" spans="1:8" ht="12" customHeight="1">
      <c r="B75" s="565"/>
      <c r="C75" s="566"/>
      <c r="D75" s="566"/>
      <c r="E75" s="566"/>
      <c r="F75" s="566"/>
      <c r="G75" s="567"/>
    </row>
    <row r="76" spans="1:8" ht="12" customHeight="1">
      <c r="B76" s="565"/>
      <c r="C76" s="566"/>
      <c r="D76" s="566"/>
      <c r="E76" s="566"/>
      <c r="F76" s="566"/>
      <c r="G76" s="567"/>
    </row>
    <row r="77" spans="1:8" ht="12" customHeight="1">
      <c r="B77" s="565"/>
      <c r="C77" s="566"/>
      <c r="D77" s="566"/>
      <c r="E77" s="566"/>
      <c r="F77" s="566"/>
      <c r="G77" s="567"/>
    </row>
    <row r="78" spans="1:8" ht="12" customHeight="1">
      <c r="B78" s="565"/>
      <c r="C78" s="566"/>
      <c r="D78" s="566"/>
      <c r="E78" s="566"/>
      <c r="F78" s="566"/>
      <c r="G78" s="567"/>
    </row>
    <row r="79" spans="1:8" ht="12" customHeight="1">
      <c r="B79" s="565"/>
      <c r="C79" s="566"/>
      <c r="D79" s="566"/>
      <c r="E79" s="566"/>
      <c r="F79" s="566"/>
      <c r="G79" s="567"/>
    </row>
    <row r="80" spans="1:8" ht="12" customHeight="1">
      <c r="B80" s="565"/>
      <c r="C80" s="566"/>
      <c r="D80" s="566"/>
      <c r="E80" s="566"/>
      <c r="F80" s="566"/>
      <c r="G80" s="567"/>
    </row>
    <row r="81" spans="2:7" ht="12" customHeight="1">
      <c r="B81" s="568"/>
      <c r="C81" s="569"/>
      <c r="D81" s="569"/>
      <c r="E81" s="569"/>
      <c r="F81" s="569"/>
      <c r="G81" s="570"/>
    </row>
    <row r="82" spans="2:7" ht="12" customHeight="1" thickBot="1">
      <c r="B82" s="571"/>
      <c r="C82" s="572"/>
      <c r="D82" s="572"/>
      <c r="E82" s="572"/>
      <c r="F82" s="572"/>
      <c r="G82" s="573"/>
    </row>
  </sheetData>
  <mergeCells count="13">
    <mergeCell ref="B73:G73"/>
    <mergeCell ref="B74:G74"/>
    <mergeCell ref="B12:F12"/>
    <mergeCell ref="B71:G71"/>
    <mergeCell ref="B72:G72"/>
    <mergeCell ref="B75:G75"/>
    <mergeCell ref="B81:G81"/>
    <mergeCell ref="B82:G82"/>
    <mergeCell ref="B76:G76"/>
    <mergeCell ref="B77:G77"/>
    <mergeCell ref="B78:G78"/>
    <mergeCell ref="B79:G79"/>
    <mergeCell ref="B80:G80"/>
  </mergeCells>
  <phoneticPr fontId="0" type="noConversion"/>
  <conditionalFormatting sqref="B12:C12">
    <cfRule type="cellIs" dxfId="34" priority="4" stopIfTrue="1" operator="equal">
      <formula>"Selecteer eerst hierboven de juiste loonkosten systematiek."</formula>
    </cfRule>
  </conditionalFormatting>
  <conditionalFormatting sqref="B34:C34">
    <cfRule type="cellIs" dxfId="33" priority="7" stopIfTrue="1" operator="equal">
      <formula>"Kies eerst uw systematiek voor de berekening van de subsidiabele kosten"</formula>
    </cfRule>
  </conditionalFormatting>
  <conditionalFormatting sqref="B48:C48">
    <cfRule type="cellIs" dxfId="32" priority="6" stopIfTrue="1" operator="equal">
      <formula>"Kies eerst uw systematiek voor de berekening van de subsidiabele kosten"</formula>
    </cfRule>
  </conditionalFormatting>
  <conditionalFormatting sqref="F25:F26 F28">
    <cfRule type="cellIs" dxfId="31" priority="3" stopIfTrue="1" operator="equal">
      <formula>"Opslag algemene kosten (50%)"</formula>
    </cfRule>
  </conditionalFormatting>
  <conditionalFormatting sqref="G68">
    <cfRule type="cellIs" dxfId="30" priority="1" operator="greaterThan">
      <formula>$G$65</formula>
    </cfRule>
  </conditionalFormatting>
  <dataValidations count="7">
    <dataValidation allowBlank="1" showErrorMessage="1" sqref="D35:D42 B35:B42 B49:B56 D49:D56" xr:uid="{00000000-0002-0000-0300-000000000000}"/>
    <dataValidation type="list" allowBlank="1" showInputMessage="1" showErrorMessage="1" sqref="D7" xr:uid="{00000000-0002-0000-0300-000001000000}">
      <formula1>Organisatiesoort</formula1>
    </dataValidation>
    <dataValidation type="list" allowBlank="1" showErrorMessage="1" errorTitle="Onjuiste invoer" error="Maak een keuze tussen de integrale kostensystematiek, de loonkosten plus vaste opslag-systematiek of de vaste uurtarief-systematiek." sqref="D10" xr:uid="{00000000-0002-0000-0300-000002000000}">
      <formula1>Kostensystematiek</formula1>
    </dataValidation>
    <dataValidation type="date" operator="greaterThan" allowBlank="1" showInputMessage="1" showErrorMessage="1" error="Voer een geldige datum in die na de startdatum ligt." sqref="D5" xr:uid="{F9E9B328-662B-4136-BD33-9D66F89A6536}">
      <formula1>D4</formula1>
    </dataValidation>
    <dataValidation type="list" allowBlank="1" showInputMessage="1" showErrorMessage="1" sqref="C49:C56 C15:C23 C35:C42 D8" xr:uid="{954A9FFB-6C00-4290-B4A4-1B3C817EE999}">
      <formula1>Subsidiedoel</formula1>
    </dataValidation>
    <dataValidation type="whole" allowBlank="1" showInputMessage="1" showErrorMessage="1" sqref="G65" xr:uid="{3ECB9992-938A-43B7-BD5F-F6709202B40A}">
      <formula1>0</formula1>
      <formula2>200000</formula2>
    </dataValidation>
    <dataValidation type="whole" allowBlank="1" showInputMessage="1" showErrorMessage="1" sqref="D9" xr:uid="{D0D76902-1F0A-2143-B176-738BA9F2EE18}">
      <formula1>0</formula1>
      <formula2>30</formula2>
    </dataValidation>
  </dataValidations>
  <printOptions horizontalCentered="1"/>
  <pageMargins left="0.19685039370078741" right="0.19685039370078741" top="0.55118110236220474" bottom="0.39370078740157483" header="0" footer="0"/>
  <pageSetup paperSize="9" scale="81" orientation="portrait" r:id="rId1"/>
  <headerFooter alignWithMargins="0">
    <oddHeader>&amp;L&amp;F</oddHeader>
  </headerFooter>
  <extLst>
    <ext xmlns:x14="http://schemas.microsoft.com/office/spreadsheetml/2009/9/main" uri="{CCE6A557-97BC-4b89-ADB6-D9C93CAAB3DF}">
      <x14:dataValidations xmlns:xm="http://schemas.microsoft.com/office/excel/2006/main" count="1">
        <x14:dataValidation type="date" operator="greaterThan" allowBlank="1" showInputMessage="1" showErrorMessage="1" error="Voer een geldige datum in die na de openstellingdatum van de regeling ligt." xr:uid="{8091327B-F319-4DB8-95F5-0156DF9F101C}">
          <x14:formula1>
            <xm:f>Lijsten!C2</xm:f>
          </x14:formula1>
          <xm:sqref>D4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9B114-F7FC-1847-A9D7-A963FC8F5CE2}">
  <sheetPr transitionEvaluation="1">
    <tabColor rgb="FFFFFF00"/>
    <pageSetUpPr fitToPage="1"/>
  </sheetPr>
  <dimension ref="A1:N269"/>
  <sheetViews>
    <sheetView showGridLines="0" tabSelected="1" zoomScaleNormal="100" workbookViewId="0">
      <selection activeCell="E19" sqref="E19"/>
    </sheetView>
  </sheetViews>
  <sheetFormatPr defaultColWidth="10.875" defaultRowHeight="15.6" customHeight="1" outlineLevelRow="1"/>
  <cols>
    <col min="1" max="1" width="3.625" customWidth="1"/>
    <col min="2" max="2" width="23" customWidth="1"/>
    <col min="3" max="3" width="18.5" customWidth="1"/>
    <col min="4" max="4" width="23" customWidth="1"/>
    <col min="5" max="5" width="47.625" customWidth="1"/>
    <col min="6" max="6" width="29.125" customWidth="1"/>
    <col min="7" max="7" width="15.125" customWidth="1"/>
    <col min="8" max="8" width="14.875" style="170" customWidth="1"/>
    <col min="9" max="9" width="6.5" customWidth="1"/>
    <col min="10" max="10" width="10.875" hidden="1" customWidth="1"/>
    <col min="11" max="11" width="11.625" customWidth="1"/>
    <col min="12" max="12" width="24" customWidth="1"/>
    <col min="13" max="13" width="15" bestFit="1" customWidth="1"/>
    <col min="14" max="14" width="20" bestFit="1" customWidth="1"/>
    <col min="18" max="18" width="23.125" customWidth="1"/>
  </cols>
  <sheetData>
    <row r="1" spans="1:14" ht="15.6" customHeight="1" thickBot="1">
      <c r="A1" s="47"/>
      <c r="B1" s="5"/>
      <c r="C1" s="5"/>
      <c r="D1" s="5"/>
      <c r="E1" s="5"/>
      <c r="F1" s="5"/>
      <c r="G1" s="33"/>
      <c r="H1" s="154"/>
    </row>
    <row r="2" spans="1:14" ht="12.75" thickBot="1">
      <c r="A2" s="1"/>
      <c r="B2" s="69" t="s">
        <v>255</v>
      </c>
      <c r="C2" s="338"/>
      <c r="D2" s="338"/>
      <c r="E2" s="71"/>
      <c r="F2" s="2"/>
      <c r="G2" s="481" t="s">
        <v>256</v>
      </c>
      <c r="H2" s="500" t="s">
        <v>36</v>
      </c>
      <c r="I2" s="482"/>
      <c r="J2" s="482"/>
      <c r="K2" s="482"/>
      <c r="L2" s="482"/>
    </row>
    <row r="3" spans="1:14" ht="12">
      <c r="A3" s="6"/>
      <c r="B3" s="70" t="s">
        <v>183</v>
      </c>
      <c r="C3" s="339"/>
      <c r="D3" s="339"/>
      <c r="E3" s="72"/>
      <c r="F3" s="7"/>
      <c r="G3" s="483" t="s">
        <v>257</v>
      </c>
      <c r="H3" s="501">
        <f>VLOOKUP(H2,$B$16:$C$66,2,0)</f>
        <v>0</v>
      </c>
      <c r="I3" s="482"/>
      <c r="J3" s="482"/>
      <c r="K3" s="482"/>
      <c r="L3" s="482"/>
    </row>
    <row r="4" spans="1:14" ht="12.75">
      <c r="A4" s="6"/>
      <c r="B4" s="70" t="s">
        <v>258</v>
      </c>
      <c r="C4" s="339"/>
      <c r="D4" s="339"/>
      <c r="E4" s="516"/>
      <c r="F4" s="48" t="str">
        <f>IF(AND(ISNUMBER(project_startdatum),regeling_datum_openstelling&gt;project_startdatum),"&lt;--  The start date is before the opening of the ERTMS, that is not allowed.","")</f>
        <v/>
      </c>
      <c r="G4" s="484" t="str">
        <f>Lijsten!D15</f>
        <v>a. purchase and installation of software and hardware for the adaptation of the freight locomotive</v>
      </c>
      <c r="H4" s="485"/>
      <c r="I4" s="482"/>
      <c r="J4" s="482"/>
      <c r="K4" s="482"/>
      <c r="L4" s="482"/>
      <c r="M4" s="413">
        <f>SUMIFS($H$16:$H$66,$E$16:$E$66,G4,$B$16:$B$66,$H$2)*1.5+SUMIFS($H$75:$H$125,$E$75:$E$125,G4,$B$75:$B$125,$H$2)+SUMIFS($H$132:$H$181,$E$132:$E$181,G4,$B$132:$B$181,$H$2)+SUMIFS($H$188:$H$245,$E$188:$E$245,G4,$B$188:$B$245,$H$2)</f>
        <v>0</v>
      </c>
    </row>
    <row r="5" spans="1:14" ht="12.75">
      <c r="A5" s="6"/>
      <c r="B5" s="70" t="s">
        <v>259</v>
      </c>
      <c r="C5" s="339"/>
      <c r="D5" s="339"/>
      <c r="E5" s="516"/>
      <c r="F5" s="138" t="str">
        <f>IF(J5&gt;1," vul de mijlpalenbegroting in","")</f>
        <v/>
      </c>
      <c r="G5" s="484" t="str">
        <f>Lijsten!D16</f>
        <v>b. the unavailability of the freight locomotive (withdrawal) during the adaptation and development</v>
      </c>
      <c r="H5" s="485"/>
      <c r="I5" s="482"/>
      <c r="J5" s="482">
        <f>_xlfn.DAYS($E$5,$E$4)/365</f>
        <v>0</v>
      </c>
      <c r="K5" s="482"/>
      <c r="L5" s="482"/>
      <c r="M5" s="413">
        <f t="shared" ref="M5:M6" si="0">SUMIFS($H$16:$H$66,$E$16:$E$66,G5,$B$16:$B$66,$H$2)*1.5+SUMIFS($H$75:$H$125,$E$75:$E$125,G5,$B$75:$B$125,$H$2)+SUMIFS($H$132:$H$181,$E$132:$E$181,G5,$B$132:$B$181,$H$2)+SUMIFS($H$188:$H$245,$E$188:$E$245,G5,$B$188:$B$245,$H$2)</f>
        <v>0</v>
      </c>
    </row>
    <row r="6" spans="1:14" ht="12.75">
      <c r="A6" s="6"/>
      <c r="B6" s="60"/>
      <c r="C6" s="9"/>
      <c r="D6" s="9"/>
      <c r="E6" s="37"/>
      <c r="F6" s="7"/>
      <c r="G6" s="484" t="str">
        <f>Lijsten!D17</f>
        <v>c. the vehicle permit due to the adaptation or development</v>
      </c>
      <c r="H6" s="485"/>
      <c r="I6" s="482"/>
      <c r="J6" s="482"/>
      <c r="K6" s="482"/>
      <c r="L6" s="482"/>
      <c r="M6" s="413">
        <f t="shared" si="0"/>
        <v>0</v>
      </c>
    </row>
    <row r="7" spans="1:14" ht="12.75">
      <c r="A7" s="6"/>
      <c r="B7" s="65" t="s">
        <v>260</v>
      </c>
      <c r="C7" s="340"/>
      <c r="D7" s="340"/>
      <c r="E7" s="76" t="s">
        <v>36</v>
      </c>
      <c r="G7" s="483" t="s">
        <v>261</v>
      </c>
      <c r="H7" s="485"/>
      <c r="I7" s="482"/>
      <c r="J7" s="482"/>
      <c r="K7" s="482"/>
      <c r="L7" s="482"/>
      <c r="M7" s="413">
        <f>M4+M5+M6</f>
        <v>0</v>
      </c>
    </row>
    <row r="8" spans="1:14" ht="12.75">
      <c r="A8" s="6"/>
      <c r="B8" s="60" t="s">
        <v>262</v>
      </c>
      <c r="C8" s="9"/>
      <c r="D8" s="9"/>
      <c r="E8" s="76" t="s">
        <v>57</v>
      </c>
      <c r="G8" s="486" t="s">
        <v>188</v>
      </c>
      <c r="H8" s="487"/>
      <c r="I8" s="482"/>
      <c r="J8" s="482">
        <f>VLOOKUP(E8,Lijsten!A14:C16,3,FALSE)*J10</f>
        <v>0</v>
      </c>
      <c r="K8" s="482"/>
      <c r="L8" s="482"/>
      <c r="M8" s="413">
        <f>IF((M7*0.5)&lt;200000,M7*0.5,200000)</f>
        <v>0</v>
      </c>
      <c r="N8" s="416" t="str">
        <f>IF(M8&gt;'Serial adaptation'!M9,"&lt;-- The requested subsidy exceeds the maximum subsidy.","")</f>
        <v/>
      </c>
    </row>
    <row r="9" spans="1:14" ht="12.75">
      <c r="A9" s="6"/>
      <c r="B9" s="60" t="s">
        <v>263</v>
      </c>
      <c r="C9" s="9"/>
      <c r="D9" s="9"/>
      <c r="E9" s="354"/>
      <c r="F9" s="515" t="str">
        <f>IF(E9="","Fill in the amount of locomotives","")</f>
        <v>Fill in the amount of locomotives</v>
      </c>
      <c r="G9" s="486" t="s">
        <v>189</v>
      </c>
      <c r="H9" s="487"/>
      <c r="I9" s="482"/>
      <c r="J9" s="482"/>
      <c r="K9" s="482"/>
      <c r="L9" s="482"/>
      <c r="M9" s="502">
        <f>IF((M7*0.5)&lt;VLOOKUP(E8,Lijsten!A14:C16,3,0),M7*0.5,VLOOKUP(E8,Lijsten!A14:C16,3,0))</f>
        <v>0</v>
      </c>
    </row>
    <row r="10" spans="1:14" ht="12.75">
      <c r="A10" s="6"/>
      <c r="B10" s="60" t="s">
        <v>169</v>
      </c>
      <c r="C10" s="9"/>
      <c r="D10" s="9"/>
      <c r="E10" s="76" t="s">
        <v>36</v>
      </c>
      <c r="F10" s="138"/>
      <c r="G10" s="242"/>
      <c r="H10" s="156"/>
      <c r="J10">
        <f>E9+E10</f>
        <v>0</v>
      </c>
    </row>
    <row r="11" spans="1:14" ht="12.75" customHeight="1" thickBot="1">
      <c r="A11" s="311"/>
      <c r="B11" s="312" t="s">
        <v>264</v>
      </c>
      <c r="C11" s="341"/>
      <c r="D11" s="341"/>
      <c r="E11" s="313" t="s">
        <v>43</v>
      </c>
      <c r="H11" s="314"/>
      <c r="J11" s="136"/>
    </row>
    <row r="12" spans="1:14" ht="13.5" thickBot="1">
      <c r="A12" s="6"/>
      <c r="B12" s="9"/>
      <c r="C12" s="9"/>
      <c r="D12" s="9"/>
      <c r="E12" s="8"/>
      <c r="F12" s="7"/>
      <c r="G12" s="8"/>
      <c r="H12" s="155"/>
      <c r="J12" s="136"/>
      <c r="K12" s="405"/>
    </row>
    <row r="13" spans="1:14" ht="12">
      <c r="A13" s="6" t="s">
        <v>220</v>
      </c>
      <c r="B13" s="574" t="s">
        <v>265</v>
      </c>
      <c r="C13" s="575"/>
      <c r="D13" s="575"/>
      <c r="E13" s="576"/>
      <c r="F13" s="576"/>
      <c r="G13" s="576"/>
      <c r="H13" s="157"/>
      <c r="J13" s="136"/>
      <c r="K13" s="390"/>
    </row>
    <row r="14" spans="1:14" ht="12">
      <c r="A14" s="6"/>
      <c r="B14" s="57"/>
      <c r="C14" s="2"/>
      <c r="D14" s="2"/>
      <c r="E14" s="2"/>
      <c r="F14" s="2"/>
      <c r="G14" s="577" t="s">
        <v>266</v>
      </c>
      <c r="H14" s="158"/>
      <c r="J14" s="136"/>
      <c r="K14" s="390"/>
    </row>
    <row r="15" spans="1:14" ht="12">
      <c r="A15" s="6"/>
      <c r="B15" s="58" t="s">
        <v>267</v>
      </c>
      <c r="C15" s="11" t="s">
        <v>257</v>
      </c>
      <c r="D15" s="418" t="s">
        <v>268</v>
      </c>
      <c r="E15" s="11" t="s">
        <v>269</v>
      </c>
      <c r="F15" s="4" t="s">
        <v>270</v>
      </c>
      <c r="G15" s="577"/>
      <c r="H15" s="158" t="s">
        <v>271</v>
      </c>
      <c r="J15" s="136"/>
      <c r="K15" s="390"/>
    </row>
    <row r="16" spans="1:14" ht="12">
      <c r="A16" s="1"/>
      <c r="B16" s="59" t="s">
        <v>36</v>
      </c>
      <c r="C16" s="409"/>
      <c r="D16" s="409"/>
      <c r="E16" s="53" t="s">
        <v>36</v>
      </c>
      <c r="F16" s="24"/>
      <c r="G16" s="12"/>
      <c r="H16" s="159">
        <f>F16*G16</f>
        <v>0</v>
      </c>
      <c r="J16" s="136"/>
      <c r="K16" s="137"/>
    </row>
    <row r="17" spans="1:11" ht="12">
      <c r="A17" s="1"/>
      <c r="B17" s="59" t="s">
        <v>36</v>
      </c>
      <c r="C17" s="409"/>
      <c r="D17" s="409"/>
      <c r="E17" s="53" t="s">
        <v>36</v>
      </c>
      <c r="F17" s="24"/>
      <c r="G17" s="12"/>
      <c r="H17" s="159">
        <f t="shared" ref="H17:H66" si="1">F17*G17</f>
        <v>0</v>
      </c>
      <c r="J17" s="136"/>
      <c r="K17" s="389"/>
    </row>
    <row r="18" spans="1:11" ht="12">
      <c r="A18" s="1"/>
      <c r="B18" s="59" t="s">
        <v>36</v>
      </c>
      <c r="C18" s="409"/>
      <c r="D18" s="409"/>
      <c r="E18" s="53" t="s">
        <v>36</v>
      </c>
      <c r="F18" s="24"/>
      <c r="G18" s="12"/>
      <c r="H18" s="159">
        <f t="shared" si="1"/>
        <v>0</v>
      </c>
      <c r="J18" s="136"/>
      <c r="K18" s="137"/>
    </row>
    <row r="19" spans="1:11" ht="12">
      <c r="A19" s="1"/>
      <c r="B19" s="59" t="s">
        <v>36</v>
      </c>
      <c r="C19" s="409"/>
      <c r="D19" s="409"/>
      <c r="E19" s="53" t="s">
        <v>36</v>
      </c>
      <c r="F19" s="24"/>
      <c r="G19" s="12"/>
      <c r="H19" s="159">
        <f t="shared" si="1"/>
        <v>0</v>
      </c>
      <c r="J19" s="136"/>
      <c r="K19" s="137"/>
    </row>
    <row r="20" spans="1:11" ht="12">
      <c r="A20" s="1"/>
      <c r="B20" s="59" t="s">
        <v>36</v>
      </c>
      <c r="C20" s="409"/>
      <c r="D20" s="409"/>
      <c r="E20" s="53" t="s">
        <v>36</v>
      </c>
      <c r="F20" s="24"/>
      <c r="G20" s="12"/>
      <c r="H20" s="159">
        <f t="shared" si="1"/>
        <v>0</v>
      </c>
    </row>
    <row r="21" spans="1:11" ht="12">
      <c r="A21" s="1"/>
      <c r="B21" s="59" t="s">
        <v>36</v>
      </c>
      <c r="C21" s="409"/>
      <c r="D21" s="409"/>
      <c r="E21" s="53" t="s">
        <v>36</v>
      </c>
      <c r="F21" s="24"/>
      <c r="G21" s="12"/>
      <c r="H21" s="159">
        <f t="shared" si="1"/>
        <v>0</v>
      </c>
    </row>
    <row r="22" spans="1:11" ht="12">
      <c r="A22" s="1"/>
      <c r="B22" s="59" t="s">
        <v>36</v>
      </c>
      <c r="C22" s="409"/>
      <c r="D22" s="409"/>
      <c r="E22" s="53" t="s">
        <v>36</v>
      </c>
      <c r="F22" s="24"/>
      <c r="G22" s="12"/>
      <c r="H22" s="159">
        <f t="shared" si="1"/>
        <v>0</v>
      </c>
    </row>
    <row r="23" spans="1:11" ht="12">
      <c r="A23" s="1"/>
      <c r="B23" s="59" t="s">
        <v>36</v>
      </c>
      <c r="C23" s="409"/>
      <c r="D23" s="409"/>
      <c r="E23" s="53" t="s">
        <v>36</v>
      </c>
      <c r="F23" s="24"/>
      <c r="G23" s="12"/>
      <c r="H23" s="159">
        <f t="shared" si="1"/>
        <v>0</v>
      </c>
    </row>
    <row r="24" spans="1:11" ht="12">
      <c r="A24" s="1"/>
      <c r="B24" s="59" t="s">
        <v>36</v>
      </c>
      <c r="C24" s="409"/>
      <c r="D24" s="409"/>
      <c r="E24" s="53" t="s">
        <v>36</v>
      </c>
      <c r="F24" s="24"/>
      <c r="G24" s="12"/>
      <c r="H24" s="159">
        <f t="shared" si="1"/>
        <v>0</v>
      </c>
    </row>
    <row r="25" spans="1:11" ht="12">
      <c r="A25" s="1"/>
      <c r="B25" s="59" t="s">
        <v>36</v>
      </c>
      <c r="C25" s="409"/>
      <c r="D25" s="409"/>
      <c r="E25" s="53" t="s">
        <v>36</v>
      </c>
      <c r="F25" s="24"/>
      <c r="G25" s="12"/>
      <c r="H25" s="159">
        <f t="shared" si="1"/>
        <v>0</v>
      </c>
    </row>
    <row r="26" spans="1:11" ht="12">
      <c r="A26" s="1"/>
      <c r="B26" s="59" t="s">
        <v>36</v>
      </c>
      <c r="C26" s="409"/>
      <c r="D26" s="409"/>
      <c r="E26" s="53" t="s">
        <v>36</v>
      </c>
      <c r="F26" s="24"/>
      <c r="G26" s="12"/>
      <c r="H26" s="159">
        <f t="shared" si="1"/>
        <v>0</v>
      </c>
    </row>
    <row r="27" spans="1:11" ht="12">
      <c r="A27" s="1"/>
      <c r="B27" s="59" t="s">
        <v>36</v>
      </c>
      <c r="C27" s="409"/>
      <c r="D27" s="409"/>
      <c r="E27" s="53" t="s">
        <v>36</v>
      </c>
      <c r="F27" s="24"/>
      <c r="G27" s="12"/>
      <c r="H27" s="159">
        <f t="shared" si="1"/>
        <v>0</v>
      </c>
    </row>
    <row r="28" spans="1:11" ht="12">
      <c r="A28" s="1"/>
      <c r="B28" s="59" t="s">
        <v>36</v>
      </c>
      <c r="C28" s="409"/>
      <c r="D28" s="409"/>
      <c r="E28" s="53" t="s">
        <v>36</v>
      </c>
      <c r="F28" s="24"/>
      <c r="G28" s="12"/>
      <c r="H28" s="159">
        <f t="shared" si="1"/>
        <v>0</v>
      </c>
    </row>
    <row r="29" spans="1:11" ht="12">
      <c r="A29" s="1"/>
      <c r="B29" s="59" t="s">
        <v>36</v>
      </c>
      <c r="C29" s="409"/>
      <c r="D29" s="409"/>
      <c r="E29" s="53" t="s">
        <v>36</v>
      </c>
      <c r="F29" s="24"/>
      <c r="G29" s="12"/>
      <c r="H29" s="159">
        <f t="shared" si="1"/>
        <v>0</v>
      </c>
    </row>
    <row r="30" spans="1:11" ht="12">
      <c r="A30" s="1"/>
      <c r="B30" s="59" t="s">
        <v>36</v>
      </c>
      <c r="C30" s="409"/>
      <c r="D30" s="409"/>
      <c r="E30" s="53" t="s">
        <v>36</v>
      </c>
      <c r="F30" s="24"/>
      <c r="G30" s="12"/>
      <c r="H30" s="159">
        <f t="shared" si="1"/>
        <v>0</v>
      </c>
    </row>
    <row r="31" spans="1:11" ht="12">
      <c r="A31" s="1"/>
      <c r="B31" s="59" t="s">
        <v>36</v>
      </c>
      <c r="C31" s="409"/>
      <c r="D31" s="409"/>
      <c r="E31" s="53" t="s">
        <v>36</v>
      </c>
      <c r="F31" s="24"/>
      <c r="G31" s="12"/>
      <c r="H31" s="159">
        <f t="shared" si="1"/>
        <v>0</v>
      </c>
    </row>
    <row r="32" spans="1:11" ht="12">
      <c r="A32" s="1"/>
      <c r="B32" s="59" t="s">
        <v>36</v>
      </c>
      <c r="C32" s="409"/>
      <c r="D32" s="409"/>
      <c r="E32" s="53" t="s">
        <v>36</v>
      </c>
      <c r="F32" s="24"/>
      <c r="G32" s="12"/>
      <c r="H32" s="159">
        <f t="shared" si="1"/>
        <v>0</v>
      </c>
    </row>
    <row r="33" spans="1:8" ht="12">
      <c r="A33" s="1"/>
      <c r="B33" s="59" t="s">
        <v>36</v>
      </c>
      <c r="C33" s="409"/>
      <c r="D33" s="409"/>
      <c r="E33" s="53" t="s">
        <v>36</v>
      </c>
      <c r="F33" s="24"/>
      <c r="G33" s="12"/>
      <c r="H33" s="159">
        <f t="shared" si="1"/>
        <v>0</v>
      </c>
    </row>
    <row r="34" spans="1:8" ht="12">
      <c r="A34" s="1"/>
      <c r="B34" s="59" t="s">
        <v>36</v>
      </c>
      <c r="C34" s="409"/>
      <c r="D34" s="409"/>
      <c r="E34" s="53" t="s">
        <v>36</v>
      </c>
      <c r="F34" s="24"/>
      <c r="G34" s="12"/>
      <c r="H34" s="159">
        <f t="shared" si="1"/>
        <v>0</v>
      </c>
    </row>
    <row r="35" spans="1:8" ht="12">
      <c r="A35" s="1"/>
      <c r="B35" s="59" t="s">
        <v>36</v>
      </c>
      <c r="C35" s="409"/>
      <c r="D35" s="409"/>
      <c r="E35" s="53" t="s">
        <v>36</v>
      </c>
      <c r="F35" s="24"/>
      <c r="G35" s="12"/>
      <c r="H35" s="159">
        <f t="shared" si="1"/>
        <v>0</v>
      </c>
    </row>
    <row r="36" spans="1:8" ht="12">
      <c r="A36" s="1"/>
      <c r="B36" s="59" t="s">
        <v>36</v>
      </c>
      <c r="C36" s="409"/>
      <c r="D36" s="409"/>
      <c r="E36" s="53" t="s">
        <v>36</v>
      </c>
      <c r="F36" s="24"/>
      <c r="G36" s="12"/>
      <c r="H36" s="159">
        <f t="shared" si="1"/>
        <v>0</v>
      </c>
    </row>
    <row r="37" spans="1:8" ht="12">
      <c r="A37" s="1"/>
      <c r="B37" s="59" t="s">
        <v>36</v>
      </c>
      <c r="C37" s="409"/>
      <c r="D37" s="409"/>
      <c r="E37" s="53" t="s">
        <v>36</v>
      </c>
      <c r="F37" s="24"/>
      <c r="G37" s="12"/>
      <c r="H37" s="159">
        <f t="shared" si="1"/>
        <v>0</v>
      </c>
    </row>
    <row r="38" spans="1:8" ht="12">
      <c r="A38" s="1"/>
      <c r="B38" s="59" t="s">
        <v>36</v>
      </c>
      <c r="C38" s="409"/>
      <c r="D38" s="409"/>
      <c r="E38" s="53" t="s">
        <v>36</v>
      </c>
      <c r="F38" s="24"/>
      <c r="G38" s="12"/>
      <c r="H38" s="159">
        <f t="shared" si="1"/>
        <v>0</v>
      </c>
    </row>
    <row r="39" spans="1:8" ht="12">
      <c r="A39" s="1"/>
      <c r="B39" s="59" t="s">
        <v>36</v>
      </c>
      <c r="C39" s="409"/>
      <c r="D39" s="409"/>
      <c r="E39" s="53" t="s">
        <v>36</v>
      </c>
      <c r="F39" s="24"/>
      <c r="G39" s="12"/>
      <c r="H39" s="159">
        <f t="shared" si="1"/>
        <v>0</v>
      </c>
    </row>
    <row r="40" spans="1:8" ht="12">
      <c r="A40" s="1"/>
      <c r="B40" s="59" t="s">
        <v>36</v>
      </c>
      <c r="C40" s="409"/>
      <c r="D40" s="409"/>
      <c r="E40" s="53" t="s">
        <v>36</v>
      </c>
      <c r="F40" s="24"/>
      <c r="G40" s="12"/>
      <c r="H40" s="159">
        <f t="shared" si="1"/>
        <v>0</v>
      </c>
    </row>
    <row r="41" spans="1:8" ht="12" outlineLevel="1">
      <c r="A41" s="1"/>
      <c r="B41" s="59" t="s">
        <v>36</v>
      </c>
      <c r="C41" s="409"/>
      <c r="D41" s="409"/>
      <c r="E41" s="53" t="s">
        <v>36</v>
      </c>
      <c r="F41" s="24"/>
      <c r="G41" s="12"/>
      <c r="H41" s="159">
        <f t="shared" si="1"/>
        <v>0</v>
      </c>
    </row>
    <row r="42" spans="1:8" ht="12" outlineLevel="1">
      <c r="A42" s="1"/>
      <c r="B42" s="59" t="s">
        <v>36</v>
      </c>
      <c r="C42" s="409"/>
      <c r="D42" s="409"/>
      <c r="E42" s="53" t="s">
        <v>36</v>
      </c>
      <c r="F42" s="24"/>
      <c r="G42" s="12"/>
      <c r="H42" s="159">
        <f t="shared" si="1"/>
        <v>0</v>
      </c>
    </row>
    <row r="43" spans="1:8" ht="12" outlineLevel="1">
      <c r="A43" s="1"/>
      <c r="B43" s="59" t="s">
        <v>36</v>
      </c>
      <c r="C43" s="409"/>
      <c r="D43" s="409"/>
      <c r="E43" s="53" t="s">
        <v>36</v>
      </c>
      <c r="F43" s="24"/>
      <c r="G43" s="12"/>
      <c r="H43" s="159">
        <f t="shared" si="1"/>
        <v>0</v>
      </c>
    </row>
    <row r="44" spans="1:8" ht="12" outlineLevel="1">
      <c r="A44" s="1"/>
      <c r="B44" s="59" t="s">
        <v>36</v>
      </c>
      <c r="C44" s="409"/>
      <c r="D44" s="409"/>
      <c r="E44" s="53" t="s">
        <v>36</v>
      </c>
      <c r="F44" s="24"/>
      <c r="G44" s="12"/>
      <c r="H44" s="159">
        <f t="shared" si="1"/>
        <v>0</v>
      </c>
    </row>
    <row r="45" spans="1:8" ht="12" outlineLevel="1">
      <c r="A45" s="1"/>
      <c r="B45" s="59" t="s">
        <v>36</v>
      </c>
      <c r="C45" s="409"/>
      <c r="D45" s="409"/>
      <c r="E45" s="53" t="s">
        <v>36</v>
      </c>
      <c r="F45" s="24"/>
      <c r="G45" s="12"/>
      <c r="H45" s="159">
        <f t="shared" si="1"/>
        <v>0</v>
      </c>
    </row>
    <row r="46" spans="1:8" ht="12" outlineLevel="1">
      <c r="A46" s="1"/>
      <c r="B46" s="59" t="s">
        <v>36</v>
      </c>
      <c r="C46" s="409"/>
      <c r="D46" s="409"/>
      <c r="E46" s="53" t="s">
        <v>36</v>
      </c>
      <c r="F46" s="24"/>
      <c r="G46" s="12"/>
      <c r="H46" s="159">
        <f t="shared" si="1"/>
        <v>0</v>
      </c>
    </row>
    <row r="47" spans="1:8" ht="12" outlineLevel="1">
      <c r="A47" s="1"/>
      <c r="B47" s="59" t="s">
        <v>36</v>
      </c>
      <c r="C47" s="409"/>
      <c r="D47" s="409"/>
      <c r="E47" s="53" t="s">
        <v>36</v>
      </c>
      <c r="F47" s="24"/>
      <c r="G47" s="12"/>
      <c r="H47" s="159">
        <f t="shared" si="1"/>
        <v>0</v>
      </c>
    </row>
    <row r="48" spans="1:8" ht="12" outlineLevel="1">
      <c r="A48" s="1"/>
      <c r="B48" s="59" t="s">
        <v>36</v>
      </c>
      <c r="C48" s="409"/>
      <c r="D48" s="409"/>
      <c r="E48" s="53" t="s">
        <v>36</v>
      </c>
      <c r="F48" s="24"/>
      <c r="G48" s="12"/>
      <c r="H48" s="159">
        <f t="shared" si="1"/>
        <v>0</v>
      </c>
    </row>
    <row r="49" spans="1:8" ht="12" outlineLevel="1">
      <c r="A49" s="1"/>
      <c r="B49" s="59" t="s">
        <v>36</v>
      </c>
      <c r="C49" s="409"/>
      <c r="D49" s="409"/>
      <c r="E49" s="53" t="s">
        <v>36</v>
      </c>
      <c r="F49" s="24"/>
      <c r="G49" s="12"/>
      <c r="H49" s="159">
        <f t="shared" si="1"/>
        <v>0</v>
      </c>
    </row>
    <row r="50" spans="1:8" ht="12" outlineLevel="1">
      <c r="A50" s="1"/>
      <c r="B50" s="59" t="s">
        <v>36</v>
      </c>
      <c r="C50" s="409"/>
      <c r="D50" s="409"/>
      <c r="E50" s="53" t="s">
        <v>36</v>
      </c>
      <c r="F50" s="24"/>
      <c r="G50" s="12"/>
      <c r="H50" s="159">
        <f t="shared" si="1"/>
        <v>0</v>
      </c>
    </row>
    <row r="51" spans="1:8" ht="12" outlineLevel="1">
      <c r="A51" s="1"/>
      <c r="B51" s="59" t="s">
        <v>36</v>
      </c>
      <c r="C51" s="409"/>
      <c r="D51" s="409"/>
      <c r="E51" s="53" t="s">
        <v>36</v>
      </c>
      <c r="F51" s="24"/>
      <c r="G51" s="12"/>
      <c r="H51" s="159">
        <f t="shared" si="1"/>
        <v>0</v>
      </c>
    </row>
    <row r="52" spans="1:8" ht="12" outlineLevel="1">
      <c r="A52" s="1"/>
      <c r="B52" s="59" t="s">
        <v>36</v>
      </c>
      <c r="C52" s="409"/>
      <c r="D52" s="409"/>
      <c r="E52" s="53" t="s">
        <v>36</v>
      </c>
      <c r="F52" s="24"/>
      <c r="G52" s="12"/>
      <c r="H52" s="159">
        <f t="shared" si="1"/>
        <v>0</v>
      </c>
    </row>
    <row r="53" spans="1:8" ht="12" outlineLevel="1">
      <c r="A53" s="1"/>
      <c r="B53" s="59" t="s">
        <v>36</v>
      </c>
      <c r="C53" s="409"/>
      <c r="D53" s="409"/>
      <c r="E53" s="53" t="s">
        <v>36</v>
      </c>
      <c r="F53" s="24"/>
      <c r="G53" s="12"/>
      <c r="H53" s="159">
        <f t="shared" si="1"/>
        <v>0</v>
      </c>
    </row>
    <row r="54" spans="1:8" ht="12" outlineLevel="1">
      <c r="A54" s="1"/>
      <c r="B54" s="59" t="s">
        <v>36</v>
      </c>
      <c r="C54" s="409"/>
      <c r="D54" s="409"/>
      <c r="E54" s="53" t="s">
        <v>36</v>
      </c>
      <c r="F54" s="24"/>
      <c r="G54" s="12"/>
      <c r="H54" s="159">
        <f t="shared" si="1"/>
        <v>0</v>
      </c>
    </row>
    <row r="55" spans="1:8" ht="12" outlineLevel="1">
      <c r="A55" s="1"/>
      <c r="B55" s="59" t="s">
        <v>36</v>
      </c>
      <c r="C55" s="409"/>
      <c r="D55" s="409"/>
      <c r="E55" s="53" t="s">
        <v>36</v>
      </c>
      <c r="F55" s="24"/>
      <c r="G55" s="12"/>
      <c r="H55" s="159">
        <f t="shared" si="1"/>
        <v>0</v>
      </c>
    </row>
    <row r="56" spans="1:8" ht="12" outlineLevel="1">
      <c r="A56" s="1"/>
      <c r="B56" s="59" t="s">
        <v>36</v>
      </c>
      <c r="C56" s="409"/>
      <c r="D56" s="409"/>
      <c r="E56" s="53" t="s">
        <v>36</v>
      </c>
      <c r="F56" s="24"/>
      <c r="G56" s="12"/>
      <c r="H56" s="159">
        <f t="shared" si="1"/>
        <v>0</v>
      </c>
    </row>
    <row r="57" spans="1:8" ht="12" outlineLevel="1">
      <c r="A57" s="1"/>
      <c r="B57" s="59" t="s">
        <v>36</v>
      </c>
      <c r="C57" s="409"/>
      <c r="D57" s="409"/>
      <c r="E57" s="53" t="s">
        <v>36</v>
      </c>
      <c r="F57" s="24"/>
      <c r="G57" s="12"/>
      <c r="H57" s="159">
        <f t="shared" si="1"/>
        <v>0</v>
      </c>
    </row>
    <row r="58" spans="1:8" ht="12" outlineLevel="1">
      <c r="A58" s="1"/>
      <c r="B58" s="59" t="s">
        <v>36</v>
      </c>
      <c r="C58" s="409"/>
      <c r="D58" s="409"/>
      <c r="E58" s="53" t="s">
        <v>36</v>
      </c>
      <c r="F58" s="24"/>
      <c r="G58" s="12"/>
      <c r="H58" s="159">
        <f t="shared" si="1"/>
        <v>0</v>
      </c>
    </row>
    <row r="59" spans="1:8" ht="12" outlineLevel="1">
      <c r="A59" s="1"/>
      <c r="B59" s="59" t="s">
        <v>36</v>
      </c>
      <c r="C59" s="409"/>
      <c r="D59" s="409"/>
      <c r="E59" s="53" t="s">
        <v>36</v>
      </c>
      <c r="F59" s="24"/>
      <c r="G59" s="12"/>
      <c r="H59" s="159">
        <f t="shared" si="1"/>
        <v>0</v>
      </c>
    </row>
    <row r="60" spans="1:8" ht="12" outlineLevel="1">
      <c r="A60" s="1"/>
      <c r="B60" s="59" t="s">
        <v>36</v>
      </c>
      <c r="C60" s="409"/>
      <c r="D60" s="409"/>
      <c r="E60" s="53" t="s">
        <v>36</v>
      </c>
      <c r="F60" s="24"/>
      <c r="G60" s="12"/>
      <c r="H60" s="159">
        <f t="shared" si="1"/>
        <v>0</v>
      </c>
    </row>
    <row r="61" spans="1:8" ht="12" outlineLevel="1">
      <c r="A61" s="1"/>
      <c r="B61" s="59" t="s">
        <v>36</v>
      </c>
      <c r="C61" s="409"/>
      <c r="D61" s="409"/>
      <c r="E61" s="53" t="s">
        <v>36</v>
      </c>
      <c r="F61" s="24"/>
      <c r="G61" s="12"/>
      <c r="H61" s="159">
        <f t="shared" si="1"/>
        <v>0</v>
      </c>
    </row>
    <row r="62" spans="1:8" ht="12" outlineLevel="1">
      <c r="A62" s="1"/>
      <c r="B62" s="59" t="s">
        <v>36</v>
      </c>
      <c r="C62" s="409"/>
      <c r="D62" s="409"/>
      <c r="E62" s="53" t="s">
        <v>36</v>
      </c>
      <c r="F62" s="24"/>
      <c r="G62" s="12"/>
      <c r="H62" s="159">
        <f t="shared" si="1"/>
        <v>0</v>
      </c>
    </row>
    <row r="63" spans="1:8" ht="12" outlineLevel="1">
      <c r="A63" s="1"/>
      <c r="B63" s="59" t="s">
        <v>36</v>
      </c>
      <c r="C63" s="409"/>
      <c r="D63" s="409"/>
      <c r="E63" s="53" t="s">
        <v>36</v>
      </c>
      <c r="F63" s="24"/>
      <c r="G63" s="12"/>
      <c r="H63" s="159">
        <f t="shared" si="1"/>
        <v>0</v>
      </c>
    </row>
    <row r="64" spans="1:8" ht="12" outlineLevel="1">
      <c r="A64" s="1"/>
      <c r="B64" s="59" t="s">
        <v>36</v>
      </c>
      <c r="C64" s="409"/>
      <c r="D64" s="409"/>
      <c r="E64" s="53" t="s">
        <v>36</v>
      </c>
      <c r="F64" s="24"/>
      <c r="G64" s="12"/>
      <c r="H64" s="159">
        <f t="shared" si="1"/>
        <v>0</v>
      </c>
    </row>
    <row r="65" spans="1:8" ht="12" outlineLevel="1">
      <c r="A65" s="1"/>
      <c r="B65" s="59" t="s">
        <v>36</v>
      </c>
      <c r="C65" s="409"/>
      <c r="D65" s="409"/>
      <c r="E65" s="53" t="s">
        <v>36</v>
      </c>
      <c r="F65" s="24"/>
      <c r="G65" s="12"/>
      <c r="H65" s="159">
        <f t="shared" si="1"/>
        <v>0</v>
      </c>
    </row>
    <row r="66" spans="1:8" ht="12" outlineLevel="1">
      <c r="A66" s="1"/>
      <c r="B66" s="59" t="s">
        <v>36</v>
      </c>
      <c r="C66" s="409"/>
      <c r="D66" s="409"/>
      <c r="E66" s="53" t="s">
        <v>36</v>
      </c>
      <c r="F66" s="24"/>
      <c r="G66" s="12"/>
      <c r="H66" s="159">
        <f t="shared" si="1"/>
        <v>0</v>
      </c>
    </row>
    <row r="67" spans="1:8" ht="12">
      <c r="A67" s="6"/>
      <c r="B67" s="57"/>
      <c r="C67" s="2"/>
      <c r="D67" s="2"/>
      <c r="E67" s="2"/>
      <c r="F67" s="25"/>
      <c r="G67" s="26" t="s">
        <v>272</v>
      </c>
      <c r="H67" s="160">
        <f>SUM(H16:H66)</f>
        <v>0</v>
      </c>
    </row>
    <row r="68" spans="1:8" ht="12">
      <c r="A68" s="6"/>
      <c r="B68" s="60"/>
      <c r="C68" s="9"/>
      <c r="D68" s="9"/>
      <c r="E68" s="9"/>
      <c r="F68" s="27"/>
      <c r="G68" s="27"/>
      <c r="H68" s="161"/>
    </row>
    <row r="69" spans="1:8" ht="37.5" customHeight="1" thickBot="1">
      <c r="A69" s="6"/>
      <c r="B69" s="60"/>
      <c r="C69" s="9"/>
      <c r="D69" s="9"/>
      <c r="E69" s="9"/>
      <c r="F69" s="2"/>
      <c r="G69" s="28" t="s">
        <v>273</v>
      </c>
      <c r="H69" s="160">
        <f>IF($E11=Lijsten!$D$6,H67*0.5,0)</f>
        <v>0</v>
      </c>
    </row>
    <row r="70" spans="1:8" ht="12.75" thickBot="1">
      <c r="A70" s="6"/>
      <c r="B70" s="61"/>
      <c r="C70" s="21"/>
      <c r="D70" s="21"/>
      <c r="E70" s="21"/>
      <c r="F70" s="29"/>
      <c r="G70" s="22" t="s">
        <v>274</v>
      </c>
      <c r="H70" s="163">
        <f>SUM(H16:H66,H69)</f>
        <v>0</v>
      </c>
    </row>
    <row r="71" spans="1:8" ht="12.75" thickBot="1">
      <c r="A71" s="2"/>
      <c r="B71" s="2"/>
      <c r="C71" s="2"/>
      <c r="D71" s="2"/>
      <c r="E71" s="2"/>
      <c r="F71" s="2"/>
      <c r="G71" s="2"/>
      <c r="H71" s="164"/>
    </row>
    <row r="72" spans="1:8" ht="12">
      <c r="A72" s="6" t="s">
        <v>238</v>
      </c>
      <c r="B72" s="62" t="s">
        <v>275</v>
      </c>
      <c r="C72" s="54"/>
      <c r="D72" s="54"/>
      <c r="E72" s="20"/>
      <c r="F72" s="20"/>
      <c r="G72" s="20"/>
      <c r="H72" s="157"/>
    </row>
    <row r="73" spans="1:8" ht="12">
      <c r="A73" s="6"/>
      <c r="B73" s="57"/>
      <c r="C73" s="2"/>
      <c r="D73" s="2"/>
      <c r="E73" s="2"/>
      <c r="F73" s="2"/>
      <c r="G73" s="10"/>
      <c r="H73" s="158"/>
    </row>
    <row r="74" spans="1:8" ht="12">
      <c r="A74" s="6"/>
      <c r="B74" s="58" t="s">
        <v>267</v>
      </c>
      <c r="C74" s="11" t="s">
        <v>257</v>
      </c>
      <c r="D74" s="11"/>
      <c r="E74" s="11" t="s">
        <v>269</v>
      </c>
      <c r="F74" s="11" t="s">
        <v>276</v>
      </c>
      <c r="H74" s="158" t="s">
        <v>277</v>
      </c>
    </row>
    <row r="75" spans="1:8" ht="12.75" customHeight="1">
      <c r="A75" s="1"/>
      <c r="B75" s="59" t="s">
        <v>36</v>
      </c>
      <c r="C75" s="411">
        <f>VLOOKUP(B75,$B$16:$C$66,2,0)</f>
        <v>0</v>
      </c>
      <c r="D75" s="410"/>
      <c r="E75" s="378" t="s">
        <v>36</v>
      </c>
      <c r="F75" s="378"/>
      <c r="G75" s="30"/>
      <c r="H75" s="165"/>
    </row>
    <row r="76" spans="1:8" ht="12">
      <c r="A76" s="1"/>
      <c r="B76" s="59" t="s">
        <v>36</v>
      </c>
      <c r="C76" s="411">
        <f t="shared" ref="C76:C125" si="2">VLOOKUP(B76,$B$16:$C$66,2,0)</f>
        <v>0</v>
      </c>
      <c r="D76" s="411"/>
      <c r="E76" s="378" t="s">
        <v>36</v>
      </c>
      <c r="F76" s="378"/>
      <c r="G76" s="31"/>
      <c r="H76" s="165"/>
    </row>
    <row r="77" spans="1:8" ht="12">
      <c r="A77" s="1"/>
      <c r="B77" s="59" t="s">
        <v>36</v>
      </c>
      <c r="C77" s="411">
        <f t="shared" si="2"/>
        <v>0</v>
      </c>
      <c r="D77" s="411"/>
      <c r="E77" s="378" t="s">
        <v>36</v>
      </c>
      <c r="F77" s="378"/>
      <c r="G77" s="31"/>
      <c r="H77" s="165"/>
    </row>
    <row r="78" spans="1:8" ht="12">
      <c r="A78" s="1"/>
      <c r="B78" s="59" t="s">
        <v>36</v>
      </c>
      <c r="C78" s="411">
        <f t="shared" si="2"/>
        <v>0</v>
      </c>
      <c r="D78" s="411"/>
      <c r="E78" s="378" t="s">
        <v>36</v>
      </c>
      <c r="F78" s="378"/>
      <c r="G78" s="31"/>
      <c r="H78" s="165"/>
    </row>
    <row r="79" spans="1:8" ht="12">
      <c r="A79" s="1"/>
      <c r="B79" s="59" t="s">
        <v>36</v>
      </c>
      <c r="C79" s="411">
        <f t="shared" si="2"/>
        <v>0</v>
      </c>
      <c r="D79" s="411"/>
      <c r="E79" s="378" t="s">
        <v>36</v>
      </c>
      <c r="F79" s="378"/>
      <c r="G79" s="31"/>
      <c r="H79" s="165"/>
    </row>
    <row r="80" spans="1:8" ht="12">
      <c r="A80" s="1"/>
      <c r="B80" s="59" t="s">
        <v>36</v>
      </c>
      <c r="C80" s="411">
        <f t="shared" si="2"/>
        <v>0</v>
      </c>
      <c r="D80" s="411"/>
      <c r="E80" s="378" t="s">
        <v>36</v>
      </c>
      <c r="F80" s="378"/>
      <c r="G80" s="31"/>
      <c r="H80" s="165"/>
    </row>
    <row r="81" spans="1:8" ht="12">
      <c r="A81" s="1"/>
      <c r="B81" s="59" t="s">
        <v>36</v>
      </c>
      <c r="C81" s="411">
        <f t="shared" si="2"/>
        <v>0</v>
      </c>
      <c r="D81" s="411"/>
      <c r="E81" s="378" t="s">
        <v>36</v>
      </c>
      <c r="F81" s="378"/>
      <c r="G81" s="31"/>
      <c r="H81" s="165"/>
    </row>
    <row r="82" spans="1:8" ht="12">
      <c r="A82" s="1"/>
      <c r="B82" s="59" t="s">
        <v>36</v>
      </c>
      <c r="C82" s="411">
        <f t="shared" si="2"/>
        <v>0</v>
      </c>
      <c r="D82" s="411"/>
      <c r="E82" s="378" t="s">
        <v>36</v>
      </c>
      <c r="F82" s="378"/>
      <c r="G82" s="31"/>
      <c r="H82" s="165"/>
    </row>
    <row r="83" spans="1:8" ht="12">
      <c r="A83" s="1"/>
      <c r="B83" s="59" t="s">
        <v>36</v>
      </c>
      <c r="C83" s="411">
        <f t="shared" si="2"/>
        <v>0</v>
      </c>
      <c r="D83" s="411"/>
      <c r="E83" s="378" t="s">
        <v>36</v>
      </c>
      <c r="F83" s="378"/>
      <c r="G83" s="31"/>
      <c r="H83" s="165"/>
    </row>
    <row r="84" spans="1:8" ht="12">
      <c r="A84" s="1"/>
      <c r="B84" s="59" t="s">
        <v>36</v>
      </c>
      <c r="C84" s="411">
        <f t="shared" si="2"/>
        <v>0</v>
      </c>
      <c r="D84" s="411"/>
      <c r="E84" s="378" t="s">
        <v>36</v>
      </c>
      <c r="F84" s="378"/>
      <c r="G84" s="31"/>
      <c r="H84" s="165"/>
    </row>
    <row r="85" spans="1:8" ht="12">
      <c r="A85" s="1"/>
      <c r="B85" s="59" t="s">
        <v>36</v>
      </c>
      <c r="C85" s="411">
        <f t="shared" si="2"/>
        <v>0</v>
      </c>
      <c r="D85" s="411"/>
      <c r="E85" s="378" t="s">
        <v>36</v>
      </c>
      <c r="F85" s="378"/>
      <c r="G85" s="31"/>
      <c r="H85" s="165"/>
    </row>
    <row r="86" spans="1:8" ht="12">
      <c r="A86" s="1"/>
      <c r="B86" s="59" t="s">
        <v>36</v>
      </c>
      <c r="C86" s="411">
        <f t="shared" si="2"/>
        <v>0</v>
      </c>
      <c r="D86" s="411"/>
      <c r="E86" s="378" t="s">
        <v>36</v>
      </c>
      <c r="F86" s="378"/>
      <c r="G86" s="31"/>
      <c r="H86" s="165"/>
    </row>
    <row r="87" spans="1:8" ht="12">
      <c r="A87" s="1"/>
      <c r="B87" s="59" t="s">
        <v>36</v>
      </c>
      <c r="C87" s="411">
        <f t="shared" si="2"/>
        <v>0</v>
      </c>
      <c r="D87" s="411"/>
      <c r="E87" s="378" t="s">
        <v>36</v>
      </c>
      <c r="F87" s="378"/>
      <c r="G87" s="31"/>
      <c r="H87" s="165"/>
    </row>
    <row r="88" spans="1:8" ht="12">
      <c r="A88" s="1"/>
      <c r="B88" s="59" t="s">
        <v>36</v>
      </c>
      <c r="C88" s="411">
        <f t="shared" si="2"/>
        <v>0</v>
      </c>
      <c r="D88" s="411"/>
      <c r="E88" s="378" t="s">
        <v>36</v>
      </c>
      <c r="F88" s="378"/>
      <c r="G88" s="31"/>
      <c r="H88" s="165"/>
    </row>
    <row r="89" spans="1:8" ht="12">
      <c r="A89" s="1"/>
      <c r="B89" s="59" t="s">
        <v>36</v>
      </c>
      <c r="C89" s="411">
        <f t="shared" si="2"/>
        <v>0</v>
      </c>
      <c r="D89" s="411"/>
      <c r="E89" s="378" t="s">
        <v>36</v>
      </c>
      <c r="F89" s="378"/>
      <c r="G89" s="31"/>
      <c r="H89" s="165"/>
    </row>
    <row r="90" spans="1:8" ht="12">
      <c r="A90" s="1"/>
      <c r="B90" s="59" t="s">
        <v>36</v>
      </c>
      <c r="C90" s="411">
        <f t="shared" si="2"/>
        <v>0</v>
      </c>
      <c r="D90" s="411"/>
      <c r="E90" s="378" t="s">
        <v>36</v>
      </c>
      <c r="F90" s="378"/>
      <c r="G90" s="31"/>
      <c r="H90" s="165"/>
    </row>
    <row r="91" spans="1:8" ht="12">
      <c r="A91" s="1"/>
      <c r="B91" s="59" t="s">
        <v>36</v>
      </c>
      <c r="C91" s="411">
        <f t="shared" si="2"/>
        <v>0</v>
      </c>
      <c r="D91" s="411"/>
      <c r="E91" s="378" t="s">
        <v>36</v>
      </c>
      <c r="F91" s="378"/>
      <c r="G91" s="31"/>
      <c r="H91" s="165"/>
    </row>
    <row r="92" spans="1:8" ht="12">
      <c r="A92" s="1"/>
      <c r="B92" s="59" t="s">
        <v>36</v>
      </c>
      <c r="C92" s="411">
        <f t="shared" si="2"/>
        <v>0</v>
      </c>
      <c r="D92" s="411"/>
      <c r="E92" s="378" t="s">
        <v>36</v>
      </c>
      <c r="F92" s="378"/>
      <c r="G92" s="31"/>
      <c r="H92" s="165"/>
    </row>
    <row r="93" spans="1:8" ht="12">
      <c r="A93" s="1"/>
      <c r="B93" s="59" t="s">
        <v>36</v>
      </c>
      <c r="C93" s="411">
        <f t="shared" si="2"/>
        <v>0</v>
      </c>
      <c r="D93" s="411"/>
      <c r="E93" s="378" t="s">
        <v>36</v>
      </c>
      <c r="F93" s="378"/>
      <c r="G93" s="31"/>
      <c r="H93" s="165"/>
    </row>
    <row r="94" spans="1:8" ht="12">
      <c r="A94" s="1"/>
      <c r="B94" s="59" t="s">
        <v>36</v>
      </c>
      <c r="C94" s="411">
        <f t="shared" si="2"/>
        <v>0</v>
      </c>
      <c r="D94" s="411"/>
      <c r="E94" s="378" t="s">
        <v>36</v>
      </c>
      <c r="F94" s="378"/>
      <c r="G94" s="31"/>
      <c r="H94" s="165"/>
    </row>
    <row r="95" spans="1:8" ht="12">
      <c r="A95" s="1"/>
      <c r="B95" s="59" t="s">
        <v>36</v>
      </c>
      <c r="C95" s="411">
        <f t="shared" si="2"/>
        <v>0</v>
      </c>
      <c r="D95" s="411"/>
      <c r="E95" s="378" t="s">
        <v>36</v>
      </c>
      <c r="F95" s="378"/>
      <c r="G95" s="31"/>
      <c r="H95" s="165"/>
    </row>
    <row r="96" spans="1:8" ht="12">
      <c r="A96" s="1"/>
      <c r="B96" s="59" t="s">
        <v>36</v>
      </c>
      <c r="C96" s="411">
        <f t="shared" si="2"/>
        <v>0</v>
      </c>
      <c r="D96" s="411"/>
      <c r="E96" s="378" t="s">
        <v>36</v>
      </c>
      <c r="F96" s="378"/>
      <c r="G96" s="31"/>
      <c r="H96" s="165"/>
    </row>
    <row r="97" spans="1:8" ht="12">
      <c r="A97" s="1"/>
      <c r="B97" s="59" t="s">
        <v>36</v>
      </c>
      <c r="C97" s="411">
        <f t="shared" si="2"/>
        <v>0</v>
      </c>
      <c r="D97" s="411"/>
      <c r="E97" s="378" t="s">
        <v>36</v>
      </c>
      <c r="F97" s="378"/>
      <c r="G97" s="31"/>
      <c r="H97" s="165"/>
    </row>
    <row r="98" spans="1:8" ht="12">
      <c r="A98" s="1"/>
      <c r="B98" s="59" t="s">
        <v>36</v>
      </c>
      <c r="C98" s="411">
        <f t="shared" si="2"/>
        <v>0</v>
      </c>
      <c r="D98" s="411"/>
      <c r="E98" s="378" t="s">
        <v>36</v>
      </c>
      <c r="F98" s="378"/>
      <c r="G98" s="31"/>
      <c r="H98" s="165"/>
    </row>
    <row r="99" spans="1:8" ht="12">
      <c r="A99" s="1"/>
      <c r="B99" s="59" t="s">
        <v>36</v>
      </c>
      <c r="C99" s="411">
        <f t="shared" si="2"/>
        <v>0</v>
      </c>
      <c r="D99" s="411"/>
      <c r="E99" s="378" t="s">
        <v>36</v>
      </c>
      <c r="F99" s="378"/>
      <c r="G99" s="31"/>
      <c r="H99" s="165"/>
    </row>
    <row r="100" spans="1:8" ht="12" outlineLevel="1">
      <c r="A100" s="1"/>
      <c r="B100" s="59" t="s">
        <v>36</v>
      </c>
      <c r="C100" s="411">
        <f t="shared" si="2"/>
        <v>0</v>
      </c>
      <c r="D100" s="409"/>
      <c r="E100" s="378" t="s">
        <v>36</v>
      </c>
      <c r="F100" s="378"/>
      <c r="G100" s="31"/>
      <c r="H100" s="165"/>
    </row>
    <row r="101" spans="1:8" ht="12" outlineLevel="1">
      <c r="A101" s="1"/>
      <c r="B101" s="59" t="s">
        <v>36</v>
      </c>
      <c r="C101" s="411">
        <f t="shared" si="2"/>
        <v>0</v>
      </c>
      <c r="D101" s="409"/>
      <c r="E101" s="378" t="s">
        <v>36</v>
      </c>
      <c r="F101" s="378"/>
      <c r="G101" s="31"/>
      <c r="H101" s="165"/>
    </row>
    <row r="102" spans="1:8" ht="12" outlineLevel="1">
      <c r="A102" s="1"/>
      <c r="B102" s="59" t="s">
        <v>36</v>
      </c>
      <c r="C102" s="411">
        <f t="shared" si="2"/>
        <v>0</v>
      </c>
      <c r="D102" s="409"/>
      <c r="E102" s="378" t="s">
        <v>36</v>
      </c>
      <c r="F102" s="378"/>
      <c r="G102" s="31"/>
      <c r="H102" s="165"/>
    </row>
    <row r="103" spans="1:8" ht="12" outlineLevel="1">
      <c r="A103" s="1"/>
      <c r="B103" s="59" t="s">
        <v>36</v>
      </c>
      <c r="C103" s="411">
        <f t="shared" si="2"/>
        <v>0</v>
      </c>
      <c r="D103" s="409"/>
      <c r="E103" s="378" t="s">
        <v>36</v>
      </c>
      <c r="F103" s="378"/>
      <c r="G103" s="31"/>
      <c r="H103" s="165"/>
    </row>
    <row r="104" spans="1:8" ht="12" outlineLevel="1">
      <c r="A104" s="1"/>
      <c r="B104" s="59" t="s">
        <v>36</v>
      </c>
      <c r="C104" s="411">
        <f t="shared" si="2"/>
        <v>0</v>
      </c>
      <c r="D104" s="409"/>
      <c r="E104" s="378" t="s">
        <v>36</v>
      </c>
      <c r="F104" s="378"/>
      <c r="G104" s="31"/>
      <c r="H104" s="165"/>
    </row>
    <row r="105" spans="1:8" ht="12" outlineLevel="1">
      <c r="A105" s="1"/>
      <c r="B105" s="59" t="s">
        <v>36</v>
      </c>
      <c r="C105" s="411">
        <f t="shared" si="2"/>
        <v>0</v>
      </c>
      <c r="D105" s="409"/>
      <c r="E105" s="378" t="s">
        <v>36</v>
      </c>
      <c r="F105" s="378"/>
      <c r="G105" s="31"/>
      <c r="H105" s="165"/>
    </row>
    <row r="106" spans="1:8" ht="12" outlineLevel="1">
      <c r="A106" s="1"/>
      <c r="B106" s="59" t="s">
        <v>36</v>
      </c>
      <c r="C106" s="411">
        <f t="shared" si="2"/>
        <v>0</v>
      </c>
      <c r="D106" s="409"/>
      <c r="E106" s="378" t="s">
        <v>36</v>
      </c>
      <c r="F106" s="378"/>
      <c r="G106" s="31"/>
      <c r="H106" s="165"/>
    </row>
    <row r="107" spans="1:8" ht="12" outlineLevel="1">
      <c r="A107" s="1"/>
      <c r="B107" s="59" t="s">
        <v>36</v>
      </c>
      <c r="C107" s="411">
        <f t="shared" si="2"/>
        <v>0</v>
      </c>
      <c r="D107" s="409"/>
      <c r="E107" s="378" t="s">
        <v>36</v>
      </c>
      <c r="F107" s="378"/>
      <c r="G107" s="31"/>
      <c r="H107" s="165"/>
    </row>
    <row r="108" spans="1:8" ht="12" outlineLevel="1">
      <c r="A108" s="1"/>
      <c r="B108" s="59" t="s">
        <v>36</v>
      </c>
      <c r="C108" s="411">
        <f t="shared" si="2"/>
        <v>0</v>
      </c>
      <c r="D108" s="409"/>
      <c r="E108" s="378" t="s">
        <v>36</v>
      </c>
      <c r="F108" s="378"/>
      <c r="G108" s="31"/>
      <c r="H108" s="165"/>
    </row>
    <row r="109" spans="1:8" ht="12" outlineLevel="1">
      <c r="A109" s="1"/>
      <c r="B109" s="59" t="s">
        <v>36</v>
      </c>
      <c r="C109" s="411">
        <f t="shared" si="2"/>
        <v>0</v>
      </c>
      <c r="D109" s="409"/>
      <c r="E109" s="378" t="s">
        <v>36</v>
      </c>
      <c r="F109" s="378"/>
      <c r="G109" s="31"/>
      <c r="H109" s="165"/>
    </row>
    <row r="110" spans="1:8" ht="12" outlineLevel="1">
      <c r="A110" s="1"/>
      <c r="B110" s="59" t="s">
        <v>36</v>
      </c>
      <c r="C110" s="411">
        <f t="shared" si="2"/>
        <v>0</v>
      </c>
      <c r="D110" s="409"/>
      <c r="E110" s="378" t="s">
        <v>36</v>
      </c>
      <c r="F110" s="378"/>
      <c r="G110" s="31"/>
      <c r="H110" s="165"/>
    </row>
    <row r="111" spans="1:8" ht="12" outlineLevel="1">
      <c r="A111" s="1"/>
      <c r="B111" s="59" t="s">
        <v>36</v>
      </c>
      <c r="C111" s="411">
        <f t="shared" si="2"/>
        <v>0</v>
      </c>
      <c r="D111" s="409"/>
      <c r="E111" s="378" t="s">
        <v>36</v>
      </c>
      <c r="F111" s="378"/>
      <c r="G111" s="31"/>
      <c r="H111" s="165"/>
    </row>
    <row r="112" spans="1:8" ht="12" outlineLevel="1">
      <c r="A112" s="1"/>
      <c r="B112" s="59" t="s">
        <v>36</v>
      </c>
      <c r="C112" s="411">
        <f t="shared" si="2"/>
        <v>0</v>
      </c>
      <c r="D112" s="409"/>
      <c r="E112" s="378" t="s">
        <v>36</v>
      </c>
      <c r="F112" s="378"/>
      <c r="G112" s="31"/>
      <c r="H112" s="165"/>
    </row>
    <row r="113" spans="1:8" ht="12" outlineLevel="1">
      <c r="A113" s="1"/>
      <c r="B113" s="59" t="s">
        <v>36</v>
      </c>
      <c r="C113" s="411">
        <f t="shared" si="2"/>
        <v>0</v>
      </c>
      <c r="D113" s="409"/>
      <c r="E113" s="378" t="s">
        <v>36</v>
      </c>
      <c r="F113" s="378"/>
      <c r="G113" s="31"/>
      <c r="H113" s="165"/>
    </row>
    <row r="114" spans="1:8" ht="12" outlineLevel="1">
      <c r="A114" s="1"/>
      <c r="B114" s="59" t="s">
        <v>36</v>
      </c>
      <c r="C114" s="411">
        <f t="shared" si="2"/>
        <v>0</v>
      </c>
      <c r="D114" s="409"/>
      <c r="E114" s="378" t="s">
        <v>36</v>
      </c>
      <c r="F114" s="378"/>
      <c r="G114" s="31"/>
      <c r="H114" s="165"/>
    </row>
    <row r="115" spans="1:8" ht="12" outlineLevel="1">
      <c r="A115" s="1"/>
      <c r="B115" s="59" t="s">
        <v>36</v>
      </c>
      <c r="C115" s="411">
        <f t="shared" si="2"/>
        <v>0</v>
      </c>
      <c r="D115" s="409"/>
      <c r="E115" s="378" t="s">
        <v>36</v>
      </c>
      <c r="F115" s="378"/>
      <c r="G115" s="31"/>
      <c r="H115" s="165"/>
    </row>
    <row r="116" spans="1:8" ht="12" outlineLevel="1">
      <c r="A116" s="1"/>
      <c r="B116" s="59" t="s">
        <v>36</v>
      </c>
      <c r="C116" s="411">
        <f t="shared" si="2"/>
        <v>0</v>
      </c>
      <c r="D116" s="409"/>
      <c r="E116" s="378" t="s">
        <v>36</v>
      </c>
      <c r="F116" s="378"/>
      <c r="G116" s="31"/>
      <c r="H116" s="165"/>
    </row>
    <row r="117" spans="1:8" ht="12" outlineLevel="1">
      <c r="A117" s="1"/>
      <c r="B117" s="59" t="s">
        <v>36</v>
      </c>
      <c r="C117" s="411">
        <f t="shared" si="2"/>
        <v>0</v>
      </c>
      <c r="D117" s="409"/>
      <c r="E117" s="378" t="s">
        <v>36</v>
      </c>
      <c r="F117" s="378"/>
      <c r="G117" s="31"/>
      <c r="H117" s="165"/>
    </row>
    <row r="118" spans="1:8" ht="12" outlineLevel="1">
      <c r="A118" s="1"/>
      <c r="B118" s="59" t="s">
        <v>36</v>
      </c>
      <c r="C118" s="411">
        <f t="shared" si="2"/>
        <v>0</v>
      </c>
      <c r="D118" s="409"/>
      <c r="E118" s="378" t="s">
        <v>36</v>
      </c>
      <c r="F118" s="378"/>
      <c r="G118" s="31"/>
      <c r="H118" s="165"/>
    </row>
    <row r="119" spans="1:8" ht="12" outlineLevel="1">
      <c r="A119" s="1"/>
      <c r="B119" s="59" t="s">
        <v>36</v>
      </c>
      <c r="C119" s="411">
        <f t="shared" si="2"/>
        <v>0</v>
      </c>
      <c r="D119" s="409"/>
      <c r="E119" s="378" t="s">
        <v>36</v>
      </c>
      <c r="F119" s="378"/>
      <c r="G119" s="31"/>
      <c r="H119" s="165"/>
    </row>
    <row r="120" spans="1:8" ht="12" outlineLevel="1">
      <c r="A120" s="1"/>
      <c r="B120" s="59" t="s">
        <v>36</v>
      </c>
      <c r="C120" s="411">
        <f t="shared" si="2"/>
        <v>0</v>
      </c>
      <c r="D120" s="409"/>
      <c r="E120" s="378" t="s">
        <v>36</v>
      </c>
      <c r="F120" s="378"/>
      <c r="G120" s="31"/>
      <c r="H120" s="165"/>
    </row>
    <row r="121" spans="1:8" ht="12" outlineLevel="1">
      <c r="A121" s="1"/>
      <c r="B121" s="59" t="s">
        <v>36</v>
      </c>
      <c r="C121" s="411">
        <f t="shared" si="2"/>
        <v>0</v>
      </c>
      <c r="D121" s="409"/>
      <c r="E121" s="378" t="s">
        <v>36</v>
      </c>
      <c r="F121" s="378"/>
      <c r="G121" s="31"/>
      <c r="H121" s="165"/>
    </row>
    <row r="122" spans="1:8" ht="12" outlineLevel="1">
      <c r="A122" s="1"/>
      <c r="B122" s="59" t="s">
        <v>36</v>
      </c>
      <c r="C122" s="411">
        <f t="shared" si="2"/>
        <v>0</v>
      </c>
      <c r="D122" s="409"/>
      <c r="E122" s="378" t="s">
        <v>36</v>
      </c>
      <c r="F122" s="378"/>
      <c r="G122" s="31"/>
      <c r="H122" s="165"/>
    </row>
    <row r="123" spans="1:8" ht="12" outlineLevel="1">
      <c r="A123" s="1"/>
      <c r="B123" s="59" t="s">
        <v>36</v>
      </c>
      <c r="C123" s="411">
        <f t="shared" si="2"/>
        <v>0</v>
      </c>
      <c r="D123" s="409"/>
      <c r="E123" s="378" t="s">
        <v>36</v>
      </c>
      <c r="F123" s="378"/>
      <c r="G123" s="31"/>
      <c r="H123" s="165"/>
    </row>
    <row r="124" spans="1:8" ht="12" outlineLevel="1">
      <c r="A124" s="1"/>
      <c r="B124" s="59" t="s">
        <v>36</v>
      </c>
      <c r="C124" s="411">
        <f t="shared" si="2"/>
        <v>0</v>
      </c>
      <c r="D124" s="409"/>
      <c r="E124" s="378" t="s">
        <v>36</v>
      </c>
      <c r="F124" s="378"/>
      <c r="G124" s="31"/>
      <c r="H124" s="165"/>
    </row>
    <row r="125" spans="1:8" ht="12" outlineLevel="1">
      <c r="A125" s="1"/>
      <c r="B125" s="59" t="s">
        <v>36</v>
      </c>
      <c r="C125" s="411">
        <f t="shared" si="2"/>
        <v>0</v>
      </c>
      <c r="D125" s="409"/>
      <c r="E125" s="378" t="s">
        <v>36</v>
      </c>
      <c r="F125" s="378"/>
      <c r="G125" s="32"/>
      <c r="H125" s="165"/>
    </row>
    <row r="126" spans="1:8" ht="12.75" thickBot="1">
      <c r="A126" s="1"/>
      <c r="B126" s="57"/>
      <c r="C126" s="2"/>
      <c r="D126" s="2"/>
      <c r="E126" s="2"/>
      <c r="F126" s="2"/>
      <c r="G126" s="13"/>
      <c r="H126" s="158"/>
    </row>
    <row r="127" spans="1:8" ht="12.75" thickBot="1">
      <c r="A127" s="6"/>
      <c r="B127" s="61"/>
      <c r="C127" s="21"/>
      <c r="D127" s="21"/>
      <c r="E127" s="21"/>
      <c r="F127" s="22"/>
      <c r="G127" s="22" t="s">
        <v>274</v>
      </c>
      <c r="H127" s="163">
        <f>SUM(H75:H125)</f>
        <v>0</v>
      </c>
    </row>
    <row r="128" spans="1:8" ht="12.75" thickBot="1">
      <c r="A128" s="9"/>
      <c r="B128" s="18"/>
      <c r="C128" s="18"/>
      <c r="D128" s="18"/>
      <c r="E128" s="493"/>
      <c r="F128" s="493"/>
      <c r="G128" s="493"/>
      <c r="H128" s="494"/>
    </row>
    <row r="129" spans="1:8" ht="12">
      <c r="A129" s="60" t="s">
        <v>278</v>
      </c>
      <c r="B129" s="62" t="s">
        <v>279</v>
      </c>
      <c r="C129" s="20"/>
      <c r="D129" s="20"/>
      <c r="E129" s="20"/>
      <c r="F129" s="20"/>
      <c r="G129" s="492"/>
      <c r="H129" s="157"/>
    </row>
    <row r="130" spans="1:8" ht="12">
      <c r="A130" s="37"/>
      <c r="B130" s="60"/>
      <c r="C130" s="9"/>
      <c r="D130" s="9"/>
      <c r="E130" s="2"/>
      <c r="F130" s="2"/>
      <c r="G130" s="2"/>
      <c r="H130" s="158"/>
    </row>
    <row r="131" spans="1:8" ht="12">
      <c r="A131" s="37"/>
      <c r="B131" s="495" t="s">
        <v>267</v>
      </c>
      <c r="C131" s="496" t="s">
        <v>257</v>
      </c>
      <c r="D131" s="409"/>
      <c r="E131" s="497" t="s">
        <v>269</v>
      </c>
      <c r="F131" s="497" t="s">
        <v>276</v>
      </c>
      <c r="H131" s="158" t="s">
        <v>277</v>
      </c>
    </row>
    <row r="132" spans="1:8" ht="12">
      <c r="A132" s="37"/>
      <c r="B132" s="59" t="s">
        <v>36</v>
      </c>
      <c r="C132" s="425">
        <f>VLOOKUP(B132,$B$16:$C$66,2,0)</f>
        <v>0</v>
      </c>
      <c r="D132" s="409"/>
      <c r="E132" s="53" t="s">
        <v>36</v>
      </c>
      <c r="F132" s="53"/>
      <c r="G132" s="2"/>
      <c r="H132" s="165"/>
    </row>
    <row r="133" spans="1:8" ht="12">
      <c r="A133" s="37"/>
      <c r="B133" s="59" t="s">
        <v>36</v>
      </c>
      <c r="C133" s="425">
        <f t="shared" ref="C133:C181" si="3">VLOOKUP(B133,$B$16:$C$66,2,0)</f>
        <v>0</v>
      </c>
      <c r="D133" s="409"/>
      <c r="E133" s="53" t="s">
        <v>36</v>
      </c>
      <c r="F133" s="53"/>
      <c r="G133" s="2"/>
      <c r="H133" s="165"/>
    </row>
    <row r="134" spans="1:8" ht="12">
      <c r="A134" s="37"/>
      <c r="B134" s="59" t="s">
        <v>36</v>
      </c>
      <c r="C134" s="425">
        <f t="shared" si="3"/>
        <v>0</v>
      </c>
      <c r="D134" s="409"/>
      <c r="E134" s="53" t="s">
        <v>36</v>
      </c>
      <c r="F134" s="53"/>
      <c r="G134" s="2"/>
      <c r="H134" s="165"/>
    </row>
    <row r="135" spans="1:8" ht="12">
      <c r="A135" s="37"/>
      <c r="B135" s="59" t="s">
        <v>36</v>
      </c>
      <c r="C135" s="425">
        <f t="shared" si="3"/>
        <v>0</v>
      </c>
      <c r="D135" s="409"/>
      <c r="E135" s="53" t="s">
        <v>36</v>
      </c>
      <c r="F135" s="53"/>
      <c r="G135" s="2"/>
      <c r="H135" s="165"/>
    </row>
    <row r="136" spans="1:8" ht="12">
      <c r="A136" s="37"/>
      <c r="B136" s="59" t="s">
        <v>36</v>
      </c>
      <c r="C136" s="425">
        <f t="shared" si="3"/>
        <v>0</v>
      </c>
      <c r="D136" s="409"/>
      <c r="E136" s="53" t="s">
        <v>36</v>
      </c>
      <c r="F136" s="53"/>
      <c r="G136" s="2"/>
      <c r="H136" s="165"/>
    </row>
    <row r="137" spans="1:8" ht="12">
      <c r="A137" s="37"/>
      <c r="B137" s="59" t="s">
        <v>36</v>
      </c>
      <c r="C137" s="425">
        <f t="shared" si="3"/>
        <v>0</v>
      </c>
      <c r="D137" s="409"/>
      <c r="E137" s="53" t="s">
        <v>36</v>
      </c>
      <c r="F137" s="53"/>
      <c r="G137" s="2"/>
      <c r="H137" s="165"/>
    </row>
    <row r="138" spans="1:8" ht="12">
      <c r="A138" s="37"/>
      <c r="B138" s="59" t="s">
        <v>36</v>
      </c>
      <c r="C138" s="425">
        <f t="shared" si="3"/>
        <v>0</v>
      </c>
      <c r="D138" s="409"/>
      <c r="E138" s="53" t="s">
        <v>36</v>
      </c>
      <c r="F138" s="53"/>
      <c r="G138" s="2"/>
      <c r="H138" s="165"/>
    </row>
    <row r="139" spans="1:8" ht="12">
      <c r="A139" s="37"/>
      <c r="B139" s="59" t="s">
        <v>36</v>
      </c>
      <c r="C139" s="425">
        <f t="shared" si="3"/>
        <v>0</v>
      </c>
      <c r="D139" s="409"/>
      <c r="E139" s="53" t="s">
        <v>36</v>
      </c>
      <c r="F139" s="53"/>
      <c r="G139" s="2"/>
      <c r="H139" s="165"/>
    </row>
    <row r="140" spans="1:8" ht="12">
      <c r="A140" s="37"/>
      <c r="B140" s="59" t="s">
        <v>36</v>
      </c>
      <c r="C140" s="425">
        <f t="shared" si="3"/>
        <v>0</v>
      </c>
      <c r="D140" s="409"/>
      <c r="E140" s="53" t="s">
        <v>36</v>
      </c>
      <c r="F140" s="53"/>
      <c r="G140" s="2"/>
      <c r="H140" s="165"/>
    </row>
    <row r="141" spans="1:8" ht="12">
      <c r="A141" s="37"/>
      <c r="B141" s="59" t="s">
        <v>36</v>
      </c>
      <c r="C141" s="425">
        <f t="shared" si="3"/>
        <v>0</v>
      </c>
      <c r="D141" s="409"/>
      <c r="E141" s="53" t="s">
        <v>36</v>
      </c>
      <c r="F141" s="53"/>
      <c r="G141" s="2"/>
      <c r="H141" s="165"/>
    </row>
    <row r="142" spans="1:8" ht="12">
      <c r="A142" s="37"/>
      <c r="B142" s="59" t="s">
        <v>36</v>
      </c>
      <c r="C142" s="425">
        <f t="shared" si="3"/>
        <v>0</v>
      </c>
      <c r="D142" s="409"/>
      <c r="E142" s="53" t="s">
        <v>36</v>
      </c>
      <c r="F142" s="53"/>
      <c r="G142" s="2"/>
      <c r="H142" s="165"/>
    </row>
    <row r="143" spans="1:8" ht="12">
      <c r="A143" s="37"/>
      <c r="B143" s="59" t="s">
        <v>36</v>
      </c>
      <c r="C143" s="425">
        <f t="shared" si="3"/>
        <v>0</v>
      </c>
      <c r="D143" s="409"/>
      <c r="E143" s="53" t="s">
        <v>36</v>
      </c>
      <c r="F143" s="53"/>
      <c r="G143" s="2"/>
      <c r="H143" s="165"/>
    </row>
    <row r="144" spans="1:8" ht="12">
      <c r="A144" s="37"/>
      <c r="B144" s="59" t="s">
        <v>36</v>
      </c>
      <c r="C144" s="425">
        <f t="shared" si="3"/>
        <v>0</v>
      </c>
      <c r="D144" s="409"/>
      <c r="E144" s="53" t="s">
        <v>36</v>
      </c>
      <c r="F144" s="53"/>
      <c r="G144" s="2"/>
      <c r="H144" s="165"/>
    </row>
    <row r="145" spans="1:8" ht="12">
      <c r="A145" s="37"/>
      <c r="B145" s="59" t="s">
        <v>36</v>
      </c>
      <c r="C145" s="425">
        <f t="shared" si="3"/>
        <v>0</v>
      </c>
      <c r="D145" s="409"/>
      <c r="E145" s="53" t="s">
        <v>36</v>
      </c>
      <c r="F145" s="53"/>
      <c r="G145" s="2"/>
      <c r="H145" s="165"/>
    </row>
    <row r="146" spans="1:8" ht="12">
      <c r="A146" s="37"/>
      <c r="B146" s="59" t="s">
        <v>36</v>
      </c>
      <c r="C146" s="425">
        <f t="shared" si="3"/>
        <v>0</v>
      </c>
      <c r="D146" s="409"/>
      <c r="E146" s="53" t="s">
        <v>36</v>
      </c>
      <c r="F146" s="53"/>
      <c r="G146" s="2"/>
      <c r="H146" s="165"/>
    </row>
    <row r="147" spans="1:8" ht="12">
      <c r="A147" s="37"/>
      <c r="B147" s="59" t="s">
        <v>36</v>
      </c>
      <c r="C147" s="425">
        <f t="shared" si="3"/>
        <v>0</v>
      </c>
      <c r="D147" s="409"/>
      <c r="E147" s="53" t="s">
        <v>36</v>
      </c>
      <c r="F147" s="53"/>
      <c r="G147" s="2"/>
      <c r="H147" s="165"/>
    </row>
    <row r="148" spans="1:8" ht="12">
      <c r="A148" s="37"/>
      <c r="B148" s="59" t="s">
        <v>36</v>
      </c>
      <c r="C148" s="425">
        <f t="shared" si="3"/>
        <v>0</v>
      </c>
      <c r="D148" s="409"/>
      <c r="E148" s="53" t="s">
        <v>36</v>
      </c>
      <c r="F148" s="53"/>
      <c r="G148" s="2"/>
      <c r="H148" s="165"/>
    </row>
    <row r="149" spans="1:8" ht="12">
      <c r="A149" s="37"/>
      <c r="B149" s="59" t="s">
        <v>36</v>
      </c>
      <c r="C149" s="425">
        <f t="shared" si="3"/>
        <v>0</v>
      </c>
      <c r="D149" s="409"/>
      <c r="E149" s="53" t="s">
        <v>36</v>
      </c>
      <c r="F149" s="53"/>
      <c r="G149" s="2"/>
      <c r="H149" s="165"/>
    </row>
    <row r="150" spans="1:8" ht="12">
      <c r="A150" s="37"/>
      <c r="B150" s="59" t="s">
        <v>36</v>
      </c>
      <c r="C150" s="425">
        <f t="shared" si="3"/>
        <v>0</v>
      </c>
      <c r="D150" s="409"/>
      <c r="E150" s="53" t="s">
        <v>36</v>
      </c>
      <c r="F150" s="53"/>
      <c r="G150" s="2"/>
      <c r="H150" s="165"/>
    </row>
    <row r="151" spans="1:8" ht="12">
      <c r="A151" s="37"/>
      <c r="B151" s="59" t="s">
        <v>36</v>
      </c>
      <c r="C151" s="425">
        <f t="shared" si="3"/>
        <v>0</v>
      </c>
      <c r="D151" s="409"/>
      <c r="E151" s="53" t="s">
        <v>36</v>
      </c>
      <c r="F151" s="53"/>
      <c r="G151" s="2"/>
      <c r="H151" s="165"/>
    </row>
    <row r="152" spans="1:8" ht="12">
      <c r="A152" s="37"/>
      <c r="B152" s="59" t="s">
        <v>36</v>
      </c>
      <c r="C152" s="425">
        <f t="shared" si="3"/>
        <v>0</v>
      </c>
      <c r="D152" s="409"/>
      <c r="E152" s="53" t="s">
        <v>36</v>
      </c>
      <c r="F152" s="53"/>
      <c r="G152" s="2"/>
      <c r="H152" s="165"/>
    </row>
    <row r="153" spans="1:8" ht="12">
      <c r="A153" s="37"/>
      <c r="B153" s="59" t="s">
        <v>36</v>
      </c>
      <c r="C153" s="425">
        <f t="shared" si="3"/>
        <v>0</v>
      </c>
      <c r="D153" s="409"/>
      <c r="E153" s="53" t="s">
        <v>36</v>
      </c>
      <c r="F153" s="53"/>
      <c r="G153" s="2"/>
      <c r="H153" s="165"/>
    </row>
    <row r="154" spans="1:8" ht="12">
      <c r="A154" s="37"/>
      <c r="B154" s="59" t="s">
        <v>36</v>
      </c>
      <c r="C154" s="425">
        <f t="shared" si="3"/>
        <v>0</v>
      </c>
      <c r="D154" s="409"/>
      <c r="E154" s="53" t="s">
        <v>36</v>
      </c>
      <c r="F154" s="53"/>
      <c r="G154" s="2"/>
      <c r="H154" s="165"/>
    </row>
    <row r="155" spans="1:8" ht="12">
      <c r="A155" s="37"/>
      <c r="B155" s="59" t="s">
        <v>36</v>
      </c>
      <c r="C155" s="425">
        <f t="shared" si="3"/>
        <v>0</v>
      </c>
      <c r="D155" s="409"/>
      <c r="E155" s="53" t="s">
        <v>36</v>
      </c>
      <c r="F155" s="53"/>
      <c r="G155" s="2"/>
      <c r="H155" s="165"/>
    </row>
    <row r="156" spans="1:8" ht="12">
      <c r="A156" s="37"/>
      <c r="B156" s="59" t="s">
        <v>36</v>
      </c>
      <c r="C156" s="425">
        <f t="shared" si="3"/>
        <v>0</v>
      </c>
      <c r="D156" s="409"/>
      <c r="E156" s="53" t="s">
        <v>36</v>
      </c>
      <c r="F156" s="53"/>
      <c r="G156" s="2"/>
      <c r="H156" s="165"/>
    </row>
    <row r="157" spans="1:8" ht="12" outlineLevel="1">
      <c r="A157" s="37"/>
      <c r="B157" s="59" t="s">
        <v>36</v>
      </c>
      <c r="C157" s="425">
        <f t="shared" si="3"/>
        <v>0</v>
      </c>
      <c r="D157" s="409"/>
      <c r="E157" s="53" t="s">
        <v>36</v>
      </c>
      <c r="F157" s="53"/>
      <c r="G157" s="2"/>
      <c r="H157" s="165"/>
    </row>
    <row r="158" spans="1:8" ht="12" outlineLevel="1">
      <c r="A158" s="37"/>
      <c r="B158" s="59" t="s">
        <v>36</v>
      </c>
      <c r="C158" s="425">
        <f t="shared" si="3"/>
        <v>0</v>
      </c>
      <c r="D158" s="409"/>
      <c r="E158" s="53" t="s">
        <v>36</v>
      </c>
      <c r="F158" s="53"/>
      <c r="G158" s="2"/>
      <c r="H158" s="165"/>
    </row>
    <row r="159" spans="1:8" ht="12" outlineLevel="1">
      <c r="A159" s="37"/>
      <c r="B159" s="59" t="s">
        <v>36</v>
      </c>
      <c r="C159" s="425">
        <f t="shared" si="3"/>
        <v>0</v>
      </c>
      <c r="D159" s="409"/>
      <c r="E159" s="53" t="s">
        <v>36</v>
      </c>
      <c r="F159" s="53"/>
      <c r="G159" s="2"/>
      <c r="H159" s="165"/>
    </row>
    <row r="160" spans="1:8" ht="12" outlineLevel="1">
      <c r="A160" s="37"/>
      <c r="B160" s="59" t="s">
        <v>36</v>
      </c>
      <c r="C160" s="425">
        <f t="shared" si="3"/>
        <v>0</v>
      </c>
      <c r="D160" s="409"/>
      <c r="E160" s="53" t="s">
        <v>36</v>
      </c>
      <c r="F160" s="53"/>
      <c r="G160" s="2"/>
      <c r="H160" s="165"/>
    </row>
    <row r="161" spans="1:8" ht="12" outlineLevel="1">
      <c r="A161" s="37"/>
      <c r="B161" s="59" t="s">
        <v>36</v>
      </c>
      <c r="C161" s="425">
        <f t="shared" si="3"/>
        <v>0</v>
      </c>
      <c r="D161" s="409"/>
      <c r="E161" s="53" t="s">
        <v>36</v>
      </c>
      <c r="F161" s="53"/>
      <c r="G161" s="2"/>
      <c r="H161" s="165"/>
    </row>
    <row r="162" spans="1:8" ht="12" outlineLevel="1">
      <c r="A162" s="37"/>
      <c r="B162" s="59" t="s">
        <v>36</v>
      </c>
      <c r="C162" s="425">
        <f t="shared" si="3"/>
        <v>0</v>
      </c>
      <c r="D162" s="409"/>
      <c r="E162" s="53" t="s">
        <v>36</v>
      </c>
      <c r="F162" s="53"/>
      <c r="G162" s="2"/>
      <c r="H162" s="165"/>
    </row>
    <row r="163" spans="1:8" ht="12" outlineLevel="1">
      <c r="A163" s="37"/>
      <c r="B163" s="59" t="s">
        <v>36</v>
      </c>
      <c r="C163" s="425">
        <f t="shared" si="3"/>
        <v>0</v>
      </c>
      <c r="D163" s="409"/>
      <c r="E163" s="53" t="s">
        <v>36</v>
      </c>
      <c r="F163" s="53"/>
      <c r="G163" s="2"/>
      <c r="H163" s="165"/>
    </row>
    <row r="164" spans="1:8" ht="12" outlineLevel="1">
      <c r="A164" s="37"/>
      <c r="B164" s="59" t="s">
        <v>36</v>
      </c>
      <c r="C164" s="425">
        <f t="shared" si="3"/>
        <v>0</v>
      </c>
      <c r="D164" s="409"/>
      <c r="E164" s="53" t="s">
        <v>36</v>
      </c>
      <c r="F164" s="53"/>
      <c r="G164" s="2"/>
      <c r="H164" s="165"/>
    </row>
    <row r="165" spans="1:8" ht="12" outlineLevel="1">
      <c r="A165" s="37"/>
      <c r="B165" s="59" t="s">
        <v>36</v>
      </c>
      <c r="C165" s="425">
        <f t="shared" si="3"/>
        <v>0</v>
      </c>
      <c r="D165" s="409"/>
      <c r="E165" s="53" t="s">
        <v>36</v>
      </c>
      <c r="F165" s="53"/>
      <c r="G165" s="2"/>
      <c r="H165" s="165"/>
    </row>
    <row r="166" spans="1:8" ht="12" outlineLevel="1">
      <c r="A166" s="37"/>
      <c r="B166" s="59" t="s">
        <v>36</v>
      </c>
      <c r="C166" s="425">
        <f t="shared" si="3"/>
        <v>0</v>
      </c>
      <c r="D166" s="409"/>
      <c r="E166" s="53" t="s">
        <v>36</v>
      </c>
      <c r="F166" s="53"/>
      <c r="G166" s="2"/>
      <c r="H166" s="165"/>
    </row>
    <row r="167" spans="1:8" ht="12" outlineLevel="1">
      <c r="A167" s="60"/>
      <c r="B167" s="59" t="s">
        <v>36</v>
      </c>
      <c r="C167" s="425">
        <f t="shared" si="3"/>
        <v>0</v>
      </c>
      <c r="D167" s="409"/>
      <c r="E167" s="53" t="s">
        <v>36</v>
      </c>
      <c r="F167" s="53"/>
      <c r="G167" s="2"/>
      <c r="H167" s="165"/>
    </row>
    <row r="168" spans="1:8" ht="12" outlineLevel="1">
      <c r="A168" s="2"/>
      <c r="B168" s="59" t="s">
        <v>36</v>
      </c>
      <c r="C168" s="425">
        <f t="shared" si="3"/>
        <v>0</v>
      </c>
      <c r="D168" s="409"/>
      <c r="E168" s="53" t="s">
        <v>36</v>
      </c>
      <c r="F168" s="53"/>
      <c r="G168" s="2"/>
      <c r="H168" s="165"/>
    </row>
    <row r="169" spans="1:8" ht="12" outlineLevel="1">
      <c r="A169" s="2"/>
      <c r="B169" s="59" t="s">
        <v>36</v>
      </c>
      <c r="C169" s="425">
        <f t="shared" si="3"/>
        <v>0</v>
      </c>
      <c r="D169" s="409"/>
      <c r="E169" s="53" t="s">
        <v>36</v>
      </c>
      <c r="F169" s="53"/>
      <c r="G169" s="2"/>
      <c r="H169" s="165"/>
    </row>
    <row r="170" spans="1:8" ht="12" outlineLevel="1">
      <c r="A170" s="2"/>
      <c r="B170" s="59" t="s">
        <v>36</v>
      </c>
      <c r="C170" s="425">
        <f t="shared" si="3"/>
        <v>0</v>
      </c>
      <c r="D170" s="409"/>
      <c r="E170" s="53" t="s">
        <v>36</v>
      </c>
      <c r="F170" s="53"/>
      <c r="G170" s="2"/>
      <c r="H170" s="165"/>
    </row>
    <row r="171" spans="1:8" ht="12" outlineLevel="1">
      <c r="A171" s="2"/>
      <c r="B171" s="59" t="s">
        <v>36</v>
      </c>
      <c r="C171" s="425">
        <f t="shared" si="3"/>
        <v>0</v>
      </c>
      <c r="D171" s="409"/>
      <c r="E171" s="53" t="s">
        <v>36</v>
      </c>
      <c r="F171" s="53"/>
      <c r="G171" s="2"/>
      <c r="H171" s="165"/>
    </row>
    <row r="172" spans="1:8" ht="12" outlineLevel="1">
      <c r="A172" s="2"/>
      <c r="B172" s="59" t="s">
        <v>36</v>
      </c>
      <c r="C172" s="425">
        <f t="shared" si="3"/>
        <v>0</v>
      </c>
      <c r="D172" s="409"/>
      <c r="E172" s="53" t="s">
        <v>36</v>
      </c>
      <c r="F172" s="53"/>
      <c r="G172" s="2"/>
      <c r="H172" s="165"/>
    </row>
    <row r="173" spans="1:8" ht="12" outlineLevel="1">
      <c r="A173" s="2"/>
      <c r="B173" s="59" t="s">
        <v>36</v>
      </c>
      <c r="C173" s="425">
        <f t="shared" si="3"/>
        <v>0</v>
      </c>
      <c r="D173" s="409"/>
      <c r="E173" s="53" t="s">
        <v>36</v>
      </c>
      <c r="F173" s="53"/>
      <c r="G173" s="2"/>
      <c r="H173" s="165"/>
    </row>
    <row r="174" spans="1:8" ht="12" outlineLevel="1">
      <c r="A174" s="2"/>
      <c r="B174" s="59" t="s">
        <v>36</v>
      </c>
      <c r="C174" s="425">
        <f t="shared" si="3"/>
        <v>0</v>
      </c>
      <c r="D174" s="409"/>
      <c r="E174" s="53" t="s">
        <v>36</v>
      </c>
      <c r="F174" s="53"/>
      <c r="G174" s="2"/>
      <c r="H174" s="165"/>
    </row>
    <row r="175" spans="1:8" ht="12" outlineLevel="1">
      <c r="A175" s="2"/>
      <c r="B175" s="59" t="s">
        <v>36</v>
      </c>
      <c r="C175" s="425">
        <f t="shared" si="3"/>
        <v>0</v>
      </c>
      <c r="D175" s="409"/>
      <c r="E175" s="53" t="s">
        <v>36</v>
      </c>
      <c r="F175" s="53"/>
      <c r="G175" s="2"/>
      <c r="H175" s="165"/>
    </row>
    <row r="176" spans="1:8" ht="12" outlineLevel="1">
      <c r="A176" s="2"/>
      <c r="B176" s="59" t="s">
        <v>36</v>
      </c>
      <c r="C176" s="425">
        <f t="shared" si="3"/>
        <v>0</v>
      </c>
      <c r="D176" s="409"/>
      <c r="E176" s="53" t="s">
        <v>36</v>
      </c>
      <c r="F176" s="53"/>
      <c r="G176" s="2"/>
      <c r="H176" s="165"/>
    </row>
    <row r="177" spans="1:8" ht="12" outlineLevel="1">
      <c r="A177" s="2"/>
      <c r="B177" s="59" t="s">
        <v>36</v>
      </c>
      <c r="C177" s="425">
        <f t="shared" si="3"/>
        <v>0</v>
      </c>
      <c r="D177" s="409"/>
      <c r="E177" s="53" t="s">
        <v>36</v>
      </c>
      <c r="F177" s="53"/>
      <c r="G177" s="2"/>
      <c r="H177" s="165"/>
    </row>
    <row r="178" spans="1:8" ht="12" outlineLevel="1">
      <c r="A178" s="2"/>
      <c r="B178" s="59" t="s">
        <v>36</v>
      </c>
      <c r="C178" s="425">
        <f t="shared" si="3"/>
        <v>0</v>
      </c>
      <c r="D178" s="409"/>
      <c r="E178" s="53" t="s">
        <v>36</v>
      </c>
      <c r="F178" s="53"/>
      <c r="G178" s="2"/>
      <c r="H178" s="165"/>
    </row>
    <row r="179" spans="1:8" ht="12" outlineLevel="1">
      <c r="A179" s="2"/>
      <c r="B179" s="59" t="s">
        <v>36</v>
      </c>
      <c r="C179" s="425">
        <f t="shared" si="3"/>
        <v>0</v>
      </c>
      <c r="D179" s="409"/>
      <c r="E179" s="53" t="s">
        <v>36</v>
      </c>
      <c r="F179" s="53"/>
      <c r="G179" s="2"/>
      <c r="H179" s="165"/>
    </row>
    <row r="180" spans="1:8" ht="12" outlineLevel="1">
      <c r="A180" s="2"/>
      <c r="B180" s="59" t="s">
        <v>36</v>
      </c>
      <c r="C180" s="425">
        <f t="shared" si="3"/>
        <v>0</v>
      </c>
      <c r="D180" s="409"/>
      <c r="E180" s="53" t="s">
        <v>36</v>
      </c>
      <c r="F180" s="53"/>
      <c r="G180" s="2"/>
      <c r="H180" s="165"/>
    </row>
    <row r="181" spans="1:8" ht="12" outlineLevel="1">
      <c r="A181" s="2"/>
      <c r="B181" s="59" t="s">
        <v>36</v>
      </c>
      <c r="C181" s="425">
        <f t="shared" si="3"/>
        <v>0</v>
      </c>
      <c r="D181" s="409"/>
      <c r="E181" s="53" t="s">
        <v>36</v>
      </c>
      <c r="F181" s="53"/>
      <c r="G181" s="2"/>
      <c r="H181" s="165"/>
    </row>
    <row r="182" spans="1:8" ht="12.75" thickBot="1">
      <c r="A182" s="2"/>
      <c r="B182" s="57"/>
      <c r="C182" s="2"/>
      <c r="D182" s="2"/>
      <c r="E182" s="2"/>
      <c r="F182" s="2"/>
      <c r="G182" s="2"/>
      <c r="H182" s="352"/>
    </row>
    <row r="183" spans="1:8" ht="12.75" thickBot="1">
      <c r="A183" s="2"/>
      <c r="B183" s="407"/>
      <c r="C183" s="408"/>
      <c r="D183" s="408"/>
      <c r="E183" s="408"/>
      <c r="F183" s="408"/>
      <c r="G183" s="22" t="s">
        <v>274</v>
      </c>
      <c r="H183" s="163">
        <f>SUM(H132:H181)</f>
        <v>0</v>
      </c>
    </row>
    <row r="184" spans="1:8" ht="12.75" thickBot="1">
      <c r="A184" s="2"/>
      <c r="B184" s="2"/>
      <c r="C184" s="2"/>
      <c r="D184" s="2"/>
      <c r="E184" s="2"/>
      <c r="F184" s="2"/>
      <c r="G184" s="2"/>
      <c r="H184" s="164"/>
    </row>
    <row r="185" spans="1:8" ht="12">
      <c r="A185" s="491">
        <v>4</v>
      </c>
      <c r="B185" s="62" t="s">
        <v>280</v>
      </c>
      <c r="C185" s="54"/>
      <c r="D185" s="54"/>
      <c r="E185" s="20"/>
      <c r="F185" s="20"/>
      <c r="G185" s="20"/>
      <c r="H185" s="157"/>
    </row>
    <row r="186" spans="1:8" ht="12">
      <c r="A186" s="6"/>
      <c r="B186" s="57"/>
      <c r="C186" s="2"/>
      <c r="D186" s="2"/>
      <c r="E186" s="2"/>
      <c r="F186" s="2"/>
      <c r="G186" s="10"/>
      <c r="H186" s="158"/>
    </row>
    <row r="187" spans="1:8" ht="12">
      <c r="A187" s="6"/>
      <c r="B187" s="58" t="s">
        <v>267</v>
      </c>
      <c r="C187" s="11" t="s">
        <v>257</v>
      </c>
      <c r="D187" s="11"/>
      <c r="E187" s="11" t="s">
        <v>269</v>
      </c>
      <c r="F187" s="11" t="s">
        <v>276</v>
      </c>
      <c r="H187" s="158" t="s">
        <v>277</v>
      </c>
    </row>
    <row r="188" spans="1:8" ht="12">
      <c r="A188" s="6"/>
      <c r="B188" s="59" t="s">
        <v>36</v>
      </c>
      <c r="C188" s="425">
        <f t="shared" ref="C188:C245" si="4">VLOOKUP(B188,$B$16:$C$66,2,0)</f>
        <v>0</v>
      </c>
      <c r="D188" s="409"/>
      <c r="E188" s="378" t="s">
        <v>36</v>
      </c>
      <c r="F188" s="53"/>
      <c r="H188" s="165"/>
    </row>
    <row r="189" spans="1:8" ht="12">
      <c r="A189" s="6"/>
      <c r="B189" s="59" t="s">
        <v>36</v>
      </c>
      <c r="C189" s="425">
        <f t="shared" si="4"/>
        <v>0</v>
      </c>
      <c r="D189" s="409"/>
      <c r="E189" s="378" t="s">
        <v>36</v>
      </c>
      <c r="F189" s="53"/>
      <c r="H189" s="165"/>
    </row>
    <row r="190" spans="1:8" ht="12">
      <c r="A190" s="6"/>
      <c r="B190" s="59" t="s">
        <v>36</v>
      </c>
      <c r="C190" s="425">
        <f t="shared" si="4"/>
        <v>0</v>
      </c>
      <c r="D190" s="409"/>
      <c r="E190" s="378" t="s">
        <v>36</v>
      </c>
      <c r="F190" s="53"/>
      <c r="H190" s="165"/>
    </row>
    <row r="191" spans="1:8" ht="12">
      <c r="A191" s="6"/>
      <c r="B191" s="59" t="s">
        <v>36</v>
      </c>
      <c r="C191" s="425">
        <f t="shared" si="4"/>
        <v>0</v>
      </c>
      <c r="D191" s="409"/>
      <c r="E191" s="378" t="s">
        <v>36</v>
      </c>
      <c r="F191" s="53"/>
      <c r="H191" s="165"/>
    </row>
    <row r="192" spans="1:8" ht="12">
      <c r="A192" s="6"/>
      <c r="B192" s="59" t="s">
        <v>36</v>
      </c>
      <c r="C192" s="425">
        <f t="shared" si="4"/>
        <v>0</v>
      </c>
      <c r="D192" s="409"/>
      <c r="E192" s="378" t="s">
        <v>36</v>
      </c>
      <c r="F192" s="53"/>
      <c r="H192" s="165"/>
    </row>
    <row r="193" spans="1:8" ht="12">
      <c r="A193" s="6"/>
      <c r="B193" s="59" t="s">
        <v>36</v>
      </c>
      <c r="C193" s="425">
        <f t="shared" si="4"/>
        <v>0</v>
      </c>
      <c r="D193" s="409"/>
      <c r="E193" s="378" t="s">
        <v>36</v>
      </c>
      <c r="F193" s="53"/>
      <c r="H193" s="165"/>
    </row>
    <row r="194" spans="1:8" ht="12">
      <c r="A194" s="6"/>
      <c r="B194" s="59" t="s">
        <v>36</v>
      </c>
      <c r="C194" s="425">
        <f t="shared" si="4"/>
        <v>0</v>
      </c>
      <c r="D194" s="409"/>
      <c r="E194" s="378" t="s">
        <v>36</v>
      </c>
      <c r="F194" s="53"/>
      <c r="H194" s="165"/>
    </row>
    <row r="195" spans="1:8" ht="12">
      <c r="A195" s="6"/>
      <c r="B195" s="59" t="s">
        <v>36</v>
      </c>
      <c r="C195" s="425">
        <f t="shared" si="4"/>
        <v>0</v>
      </c>
      <c r="D195" s="409"/>
      <c r="E195" s="378" t="s">
        <v>36</v>
      </c>
      <c r="F195" s="53"/>
      <c r="H195" s="165"/>
    </row>
    <row r="196" spans="1:8" ht="12">
      <c r="A196" s="6"/>
      <c r="B196" s="59" t="s">
        <v>36</v>
      </c>
      <c r="C196" s="425">
        <f t="shared" si="4"/>
        <v>0</v>
      </c>
      <c r="D196" s="409"/>
      <c r="E196" s="378" t="s">
        <v>36</v>
      </c>
      <c r="F196" s="53"/>
      <c r="H196" s="165"/>
    </row>
    <row r="197" spans="1:8" ht="12">
      <c r="A197" s="6"/>
      <c r="B197" s="59" t="s">
        <v>36</v>
      </c>
      <c r="C197" s="425">
        <f t="shared" si="4"/>
        <v>0</v>
      </c>
      <c r="D197" s="409"/>
      <c r="E197" s="378" t="s">
        <v>36</v>
      </c>
      <c r="F197" s="53"/>
      <c r="H197" s="165"/>
    </row>
    <row r="198" spans="1:8" ht="12">
      <c r="A198" s="6"/>
      <c r="B198" s="59" t="s">
        <v>36</v>
      </c>
      <c r="C198" s="425">
        <f t="shared" si="4"/>
        <v>0</v>
      </c>
      <c r="D198" s="409"/>
      <c r="E198" s="378" t="s">
        <v>36</v>
      </c>
      <c r="F198" s="53"/>
      <c r="H198" s="165"/>
    </row>
    <row r="199" spans="1:8" ht="12">
      <c r="A199" s="6"/>
      <c r="B199" s="59" t="s">
        <v>36</v>
      </c>
      <c r="C199" s="425">
        <f t="shared" si="4"/>
        <v>0</v>
      </c>
      <c r="D199" s="409"/>
      <c r="E199" s="378" t="s">
        <v>36</v>
      </c>
      <c r="F199" s="53"/>
      <c r="H199" s="165"/>
    </row>
    <row r="200" spans="1:8" ht="12">
      <c r="A200" s="6"/>
      <c r="B200" s="59" t="s">
        <v>36</v>
      </c>
      <c r="C200" s="425">
        <f t="shared" si="4"/>
        <v>0</v>
      </c>
      <c r="D200" s="409"/>
      <c r="E200" s="378" t="s">
        <v>36</v>
      </c>
      <c r="F200" s="53"/>
      <c r="H200" s="165"/>
    </row>
    <row r="201" spans="1:8" ht="12">
      <c r="A201" s="6"/>
      <c r="B201" s="59" t="s">
        <v>36</v>
      </c>
      <c r="C201" s="425">
        <f t="shared" si="4"/>
        <v>0</v>
      </c>
      <c r="D201" s="409"/>
      <c r="E201" s="378" t="s">
        <v>36</v>
      </c>
      <c r="F201" s="53"/>
      <c r="H201" s="165"/>
    </row>
    <row r="202" spans="1:8" ht="12">
      <c r="A202" s="6"/>
      <c r="B202" s="59" t="s">
        <v>36</v>
      </c>
      <c r="C202" s="425">
        <f t="shared" si="4"/>
        <v>0</v>
      </c>
      <c r="D202" s="409"/>
      <c r="E202" s="378" t="s">
        <v>36</v>
      </c>
      <c r="F202" s="53"/>
      <c r="H202" s="165"/>
    </row>
    <row r="203" spans="1:8" ht="12">
      <c r="A203" s="6"/>
      <c r="B203" s="59" t="s">
        <v>36</v>
      </c>
      <c r="C203" s="425">
        <f t="shared" si="4"/>
        <v>0</v>
      </c>
      <c r="D203" s="409"/>
      <c r="E203" s="378" t="s">
        <v>36</v>
      </c>
      <c r="F203" s="53"/>
      <c r="H203" s="165"/>
    </row>
    <row r="204" spans="1:8" ht="12">
      <c r="A204" s="6"/>
      <c r="B204" s="59" t="s">
        <v>36</v>
      </c>
      <c r="C204" s="425">
        <f t="shared" si="4"/>
        <v>0</v>
      </c>
      <c r="D204" s="409"/>
      <c r="E204" s="378" t="s">
        <v>36</v>
      </c>
      <c r="F204" s="53"/>
      <c r="H204" s="165"/>
    </row>
    <row r="205" spans="1:8" ht="12">
      <c r="A205" s="6"/>
      <c r="B205" s="59" t="s">
        <v>36</v>
      </c>
      <c r="C205" s="425">
        <f t="shared" si="4"/>
        <v>0</v>
      </c>
      <c r="D205" s="409"/>
      <c r="E205" s="378" t="s">
        <v>36</v>
      </c>
      <c r="F205" s="53"/>
      <c r="H205" s="165"/>
    </row>
    <row r="206" spans="1:8" ht="12">
      <c r="A206" s="6"/>
      <c r="B206" s="59" t="s">
        <v>36</v>
      </c>
      <c r="C206" s="425">
        <f t="shared" si="4"/>
        <v>0</v>
      </c>
      <c r="D206" s="409"/>
      <c r="E206" s="378" t="s">
        <v>36</v>
      </c>
      <c r="F206" s="53"/>
      <c r="H206" s="165"/>
    </row>
    <row r="207" spans="1:8" ht="12">
      <c r="A207" s="6"/>
      <c r="B207" s="59" t="s">
        <v>36</v>
      </c>
      <c r="C207" s="425">
        <f t="shared" si="4"/>
        <v>0</v>
      </c>
      <c r="D207" s="409"/>
      <c r="E207" s="378" t="s">
        <v>36</v>
      </c>
      <c r="F207" s="53"/>
      <c r="H207" s="165"/>
    </row>
    <row r="208" spans="1:8" ht="12">
      <c r="A208" s="6"/>
      <c r="B208" s="59" t="s">
        <v>36</v>
      </c>
      <c r="C208" s="425">
        <f t="shared" si="4"/>
        <v>0</v>
      </c>
      <c r="D208" s="409"/>
      <c r="E208" s="378" t="s">
        <v>36</v>
      </c>
      <c r="F208" s="53"/>
      <c r="H208" s="165"/>
    </row>
    <row r="209" spans="1:8" ht="12">
      <c r="A209" s="6"/>
      <c r="B209" s="59" t="s">
        <v>36</v>
      </c>
      <c r="C209" s="425">
        <f t="shared" si="4"/>
        <v>0</v>
      </c>
      <c r="D209" s="409"/>
      <c r="E209" s="378" t="s">
        <v>36</v>
      </c>
      <c r="F209" s="53"/>
      <c r="H209" s="165"/>
    </row>
    <row r="210" spans="1:8" ht="12">
      <c r="A210" s="6"/>
      <c r="B210" s="59" t="s">
        <v>36</v>
      </c>
      <c r="C210" s="425">
        <f t="shared" si="4"/>
        <v>0</v>
      </c>
      <c r="D210" s="409"/>
      <c r="E210" s="378" t="s">
        <v>36</v>
      </c>
      <c r="F210" s="53"/>
      <c r="H210" s="165"/>
    </row>
    <row r="211" spans="1:8" ht="12">
      <c r="A211" s="6"/>
      <c r="B211" s="59" t="s">
        <v>36</v>
      </c>
      <c r="C211" s="425">
        <f t="shared" si="4"/>
        <v>0</v>
      </c>
      <c r="D211" s="409"/>
      <c r="E211" s="378" t="s">
        <v>36</v>
      </c>
      <c r="F211" s="53"/>
      <c r="H211" s="165"/>
    </row>
    <row r="212" spans="1:8" ht="12">
      <c r="A212" s="6"/>
      <c r="B212" s="59" t="s">
        <v>36</v>
      </c>
      <c r="C212" s="425">
        <f t="shared" si="4"/>
        <v>0</v>
      </c>
      <c r="D212" s="409"/>
      <c r="E212" s="378" t="s">
        <v>36</v>
      </c>
      <c r="F212" s="53"/>
      <c r="H212" s="165"/>
    </row>
    <row r="213" spans="1:8" ht="12" outlineLevel="1">
      <c r="A213" s="6"/>
      <c r="B213" s="59" t="s">
        <v>36</v>
      </c>
      <c r="C213" s="425">
        <f t="shared" si="4"/>
        <v>0</v>
      </c>
      <c r="D213" s="409"/>
      <c r="E213" s="378" t="s">
        <v>36</v>
      </c>
      <c r="F213" s="53"/>
      <c r="H213" s="165"/>
    </row>
    <row r="214" spans="1:8" ht="12" outlineLevel="1">
      <c r="A214" s="6"/>
      <c r="B214" s="59" t="s">
        <v>36</v>
      </c>
      <c r="C214" s="425">
        <f t="shared" si="4"/>
        <v>0</v>
      </c>
      <c r="D214" s="409"/>
      <c r="E214" s="378" t="s">
        <v>36</v>
      </c>
      <c r="F214" s="53"/>
      <c r="H214" s="165"/>
    </row>
    <row r="215" spans="1:8" ht="12" outlineLevel="1">
      <c r="A215" s="6"/>
      <c r="B215" s="59" t="s">
        <v>36</v>
      </c>
      <c r="C215" s="425">
        <f t="shared" si="4"/>
        <v>0</v>
      </c>
      <c r="D215" s="409"/>
      <c r="E215" s="378" t="s">
        <v>36</v>
      </c>
      <c r="F215" s="53"/>
      <c r="H215" s="165"/>
    </row>
    <row r="216" spans="1:8" ht="12" outlineLevel="1">
      <c r="A216" s="6"/>
      <c r="B216" s="59" t="s">
        <v>36</v>
      </c>
      <c r="C216" s="425">
        <f t="shared" si="4"/>
        <v>0</v>
      </c>
      <c r="D216" s="409"/>
      <c r="E216" s="378" t="s">
        <v>36</v>
      </c>
      <c r="F216" s="53"/>
      <c r="H216" s="165"/>
    </row>
    <row r="217" spans="1:8" ht="12" outlineLevel="1">
      <c r="A217" s="6"/>
      <c r="B217" s="59" t="s">
        <v>36</v>
      </c>
      <c r="C217" s="425">
        <f t="shared" si="4"/>
        <v>0</v>
      </c>
      <c r="D217" s="409"/>
      <c r="E217" s="378" t="s">
        <v>36</v>
      </c>
      <c r="F217" s="53"/>
      <c r="H217" s="165"/>
    </row>
    <row r="218" spans="1:8" ht="12" outlineLevel="1">
      <c r="A218" s="6"/>
      <c r="B218" s="59" t="s">
        <v>36</v>
      </c>
      <c r="C218" s="425">
        <f t="shared" si="4"/>
        <v>0</v>
      </c>
      <c r="D218" s="409"/>
      <c r="E218" s="378" t="s">
        <v>36</v>
      </c>
      <c r="F218" s="53"/>
      <c r="H218" s="165"/>
    </row>
    <row r="219" spans="1:8" ht="12" outlineLevel="1">
      <c r="A219" s="6"/>
      <c r="B219" s="59" t="s">
        <v>36</v>
      </c>
      <c r="C219" s="425">
        <f t="shared" si="4"/>
        <v>0</v>
      </c>
      <c r="D219" s="409"/>
      <c r="E219" s="378" t="s">
        <v>36</v>
      </c>
      <c r="F219" s="53"/>
      <c r="H219" s="165"/>
    </row>
    <row r="220" spans="1:8" ht="12" outlineLevel="1">
      <c r="A220" s="6"/>
      <c r="B220" s="59" t="s">
        <v>36</v>
      </c>
      <c r="C220" s="425">
        <f t="shared" si="4"/>
        <v>0</v>
      </c>
      <c r="D220" s="409"/>
      <c r="E220" s="378" t="s">
        <v>36</v>
      </c>
      <c r="F220" s="53"/>
      <c r="H220" s="165"/>
    </row>
    <row r="221" spans="1:8" ht="12" outlineLevel="1">
      <c r="A221" s="6"/>
      <c r="B221" s="59" t="s">
        <v>36</v>
      </c>
      <c r="C221" s="425">
        <f t="shared" si="4"/>
        <v>0</v>
      </c>
      <c r="D221" s="409"/>
      <c r="E221" s="378" t="s">
        <v>36</v>
      </c>
      <c r="F221" s="53"/>
      <c r="H221" s="165"/>
    </row>
    <row r="222" spans="1:8" ht="12" outlineLevel="1">
      <c r="A222" s="6"/>
      <c r="B222" s="59" t="s">
        <v>36</v>
      </c>
      <c r="C222" s="425">
        <f t="shared" si="4"/>
        <v>0</v>
      </c>
      <c r="D222" s="409"/>
      <c r="E222" s="378" t="s">
        <v>36</v>
      </c>
      <c r="F222" s="53"/>
      <c r="H222" s="165"/>
    </row>
    <row r="223" spans="1:8" ht="12" outlineLevel="1">
      <c r="A223" s="6"/>
      <c r="B223" s="59" t="s">
        <v>36</v>
      </c>
      <c r="C223" s="425">
        <f t="shared" si="4"/>
        <v>0</v>
      </c>
      <c r="D223" s="409"/>
      <c r="E223" s="378" t="s">
        <v>36</v>
      </c>
      <c r="F223" s="53"/>
      <c r="H223" s="165"/>
    </row>
    <row r="224" spans="1:8" ht="12" outlineLevel="1">
      <c r="A224" s="6"/>
      <c r="B224" s="59" t="s">
        <v>36</v>
      </c>
      <c r="C224" s="425">
        <f t="shared" si="4"/>
        <v>0</v>
      </c>
      <c r="D224" s="409"/>
      <c r="E224" s="378" t="s">
        <v>36</v>
      </c>
      <c r="F224" s="53"/>
      <c r="H224" s="165"/>
    </row>
    <row r="225" spans="1:8" ht="12" outlineLevel="1">
      <c r="A225" s="6"/>
      <c r="B225" s="59" t="s">
        <v>36</v>
      </c>
      <c r="C225" s="425">
        <f t="shared" si="4"/>
        <v>0</v>
      </c>
      <c r="D225" s="409"/>
      <c r="E225" s="378" t="s">
        <v>36</v>
      </c>
      <c r="F225" s="53"/>
      <c r="H225" s="165"/>
    </row>
    <row r="226" spans="1:8" ht="12" outlineLevel="1">
      <c r="A226" s="6"/>
      <c r="B226" s="59" t="s">
        <v>36</v>
      </c>
      <c r="C226" s="425">
        <f t="shared" si="4"/>
        <v>0</v>
      </c>
      <c r="D226" s="409"/>
      <c r="E226" s="378" t="s">
        <v>36</v>
      </c>
      <c r="F226" s="53"/>
      <c r="H226" s="165"/>
    </row>
    <row r="227" spans="1:8" ht="12" outlineLevel="1">
      <c r="A227" s="6"/>
      <c r="B227" s="59" t="s">
        <v>36</v>
      </c>
      <c r="C227" s="425">
        <f t="shared" si="4"/>
        <v>0</v>
      </c>
      <c r="D227" s="409"/>
      <c r="E227" s="378" t="s">
        <v>36</v>
      </c>
      <c r="F227" s="53"/>
      <c r="H227" s="165"/>
    </row>
    <row r="228" spans="1:8" ht="12" outlineLevel="1">
      <c r="A228" s="6"/>
      <c r="B228" s="59" t="s">
        <v>36</v>
      </c>
      <c r="C228" s="425">
        <f t="shared" si="4"/>
        <v>0</v>
      </c>
      <c r="D228" s="409"/>
      <c r="E228" s="378" t="s">
        <v>36</v>
      </c>
      <c r="F228" s="53"/>
      <c r="H228" s="165"/>
    </row>
    <row r="229" spans="1:8" ht="12" outlineLevel="1">
      <c r="A229" s="6"/>
      <c r="B229" s="59" t="s">
        <v>36</v>
      </c>
      <c r="C229" s="425">
        <f t="shared" si="4"/>
        <v>0</v>
      </c>
      <c r="D229" s="409"/>
      <c r="E229" s="378" t="s">
        <v>36</v>
      </c>
      <c r="F229" s="53"/>
      <c r="H229" s="165"/>
    </row>
    <row r="230" spans="1:8" ht="12" outlineLevel="1">
      <c r="A230" s="6"/>
      <c r="B230" s="59" t="s">
        <v>36</v>
      </c>
      <c r="C230" s="425">
        <f t="shared" si="4"/>
        <v>0</v>
      </c>
      <c r="D230" s="409"/>
      <c r="E230" s="378" t="s">
        <v>36</v>
      </c>
      <c r="F230" s="53"/>
      <c r="H230" s="165"/>
    </row>
    <row r="231" spans="1:8" ht="12" outlineLevel="1">
      <c r="A231" s="6"/>
      <c r="B231" s="59" t="s">
        <v>36</v>
      </c>
      <c r="C231" s="425">
        <f t="shared" si="4"/>
        <v>0</v>
      </c>
      <c r="D231" s="409"/>
      <c r="E231" s="378" t="s">
        <v>36</v>
      </c>
      <c r="F231" s="53"/>
      <c r="H231" s="165"/>
    </row>
    <row r="232" spans="1:8" ht="12" outlineLevel="1">
      <c r="A232" s="6"/>
      <c r="B232" s="59" t="s">
        <v>36</v>
      </c>
      <c r="C232" s="425">
        <f t="shared" si="4"/>
        <v>0</v>
      </c>
      <c r="D232" s="409"/>
      <c r="E232" s="378" t="s">
        <v>36</v>
      </c>
      <c r="F232" s="53"/>
      <c r="H232" s="165"/>
    </row>
    <row r="233" spans="1:8" ht="12" outlineLevel="1">
      <c r="A233" s="6"/>
      <c r="B233" s="59" t="s">
        <v>36</v>
      </c>
      <c r="C233" s="425">
        <f t="shared" si="4"/>
        <v>0</v>
      </c>
      <c r="D233" s="409"/>
      <c r="E233" s="378" t="s">
        <v>36</v>
      </c>
      <c r="F233" s="53"/>
      <c r="H233" s="165"/>
    </row>
    <row r="234" spans="1:8" ht="12" outlineLevel="1">
      <c r="A234" s="6"/>
      <c r="B234" s="59" t="s">
        <v>36</v>
      </c>
      <c r="C234" s="425">
        <f t="shared" si="4"/>
        <v>0</v>
      </c>
      <c r="D234" s="409"/>
      <c r="E234" s="378" t="s">
        <v>36</v>
      </c>
      <c r="F234" s="53"/>
      <c r="H234" s="165"/>
    </row>
    <row r="235" spans="1:8" ht="12" outlineLevel="1">
      <c r="A235" s="6"/>
      <c r="B235" s="59" t="s">
        <v>36</v>
      </c>
      <c r="C235" s="425">
        <f t="shared" si="4"/>
        <v>0</v>
      </c>
      <c r="D235" s="409"/>
      <c r="E235" s="378" t="s">
        <v>36</v>
      </c>
      <c r="F235" s="53"/>
      <c r="H235" s="165"/>
    </row>
    <row r="236" spans="1:8" ht="12" outlineLevel="1">
      <c r="A236" s="6"/>
      <c r="B236" s="59" t="s">
        <v>36</v>
      </c>
      <c r="C236" s="425">
        <f t="shared" si="4"/>
        <v>0</v>
      </c>
      <c r="D236" s="409"/>
      <c r="E236" s="378" t="s">
        <v>36</v>
      </c>
      <c r="F236" s="53"/>
      <c r="H236" s="165"/>
    </row>
    <row r="237" spans="1:8" ht="12" outlineLevel="1">
      <c r="A237" s="6"/>
      <c r="B237" s="59" t="s">
        <v>36</v>
      </c>
      <c r="C237" s="425">
        <f t="shared" si="4"/>
        <v>0</v>
      </c>
      <c r="D237" s="409"/>
      <c r="E237" s="378" t="s">
        <v>36</v>
      </c>
      <c r="F237" s="53"/>
      <c r="H237" s="165"/>
    </row>
    <row r="238" spans="1:8" ht="12" outlineLevel="1">
      <c r="A238" s="1"/>
      <c r="B238" s="59" t="s">
        <v>36</v>
      </c>
      <c r="C238" s="425">
        <f t="shared" si="4"/>
        <v>0</v>
      </c>
      <c r="D238" s="409"/>
      <c r="E238" s="378" t="s">
        <v>36</v>
      </c>
      <c r="F238" s="53"/>
      <c r="H238" s="165"/>
    </row>
    <row r="239" spans="1:8" ht="12" outlineLevel="1">
      <c r="A239" s="1"/>
      <c r="B239" s="59" t="s">
        <v>36</v>
      </c>
      <c r="C239" s="426">
        <f t="shared" si="4"/>
        <v>0</v>
      </c>
      <c r="D239" s="412"/>
      <c r="E239" s="378" t="s">
        <v>36</v>
      </c>
      <c r="F239" s="53"/>
      <c r="H239" s="165"/>
    </row>
    <row r="240" spans="1:8" ht="12" outlineLevel="1">
      <c r="A240" s="1"/>
      <c r="B240" s="59" t="s">
        <v>36</v>
      </c>
      <c r="C240" s="426">
        <f t="shared" si="4"/>
        <v>0</v>
      </c>
      <c r="D240" s="412"/>
      <c r="E240" s="378" t="s">
        <v>36</v>
      </c>
      <c r="F240" s="53"/>
      <c r="H240" s="165"/>
    </row>
    <row r="241" spans="1:9" ht="12" outlineLevel="1">
      <c r="A241" s="1"/>
      <c r="B241" s="59" t="s">
        <v>36</v>
      </c>
      <c r="C241" s="426">
        <f t="shared" si="4"/>
        <v>0</v>
      </c>
      <c r="D241" s="412"/>
      <c r="E241" s="378" t="s">
        <v>36</v>
      </c>
      <c r="F241" s="53"/>
      <c r="H241" s="165"/>
    </row>
    <row r="242" spans="1:9" ht="12" outlineLevel="1">
      <c r="A242" s="1"/>
      <c r="B242" s="59" t="s">
        <v>36</v>
      </c>
      <c r="C242" s="426">
        <f t="shared" si="4"/>
        <v>0</v>
      </c>
      <c r="D242" s="412"/>
      <c r="E242" s="378" t="s">
        <v>36</v>
      </c>
      <c r="F242" s="53"/>
      <c r="H242" s="165"/>
    </row>
    <row r="243" spans="1:9" ht="12" outlineLevel="1">
      <c r="A243" s="1"/>
      <c r="B243" s="59" t="s">
        <v>36</v>
      </c>
      <c r="C243" s="426">
        <f t="shared" si="4"/>
        <v>0</v>
      </c>
      <c r="D243" s="412"/>
      <c r="E243" s="378" t="s">
        <v>36</v>
      </c>
      <c r="F243" s="53"/>
      <c r="H243" s="165"/>
    </row>
    <row r="244" spans="1:9" ht="12" outlineLevel="1">
      <c r="A244" s="1"/>
      <c r="B244" s="59" t="s">
        <v>36</v>
      </c>
      <c r="C244" s="426">
        <f t="shared" si="4"/>
        <v>0</v>
      </c>
      <c r="D244" s="412"/>
      <c r="E244" s="378" t="s">
        <v>36</v>
      </c>
      <c r="F244" s="53"/>
      <c r="H244" s="165"/>
    </row>
    <row r="245" spans="1:9" ht="12" outlineLevel="1">
      <c r="A245" s="1"/>
      <c r="B245" s="59" t="s">
        <v>36</v>
      </c>
      <c r="C245" s="426">
        <f t="shared" si="4"/>
        <v>0</v>
      </c>
      <c r="D245" s="412"/>
      <c r="E245" s="378" t="s">
        <v>36</v>
      </c>
      <c r="F245" s="53"/>
      <c r="H245" s="165"/>
    </row>
    <row r="246" spans="1:9" ht="12.75" thickBot="1">
      <c r="A246" s="1"/>
      <c r="B246" s="57"/>
      <c r="C246" s="2"/>
      <c r="D246" s="2"/>
      <c r="E246" s="2"/>
      <c r="F246" s="2"/>
      <c r="G246" s="13"/>
      <c r="H246" s="158"/>
    </row>
    <row r="247" spans="1:9" ht="12.75" thickBot="1">
      <c r="A247" s="6"/>
      <c r="B247" s="61"/>
      <c r="C247" s="21"/>
      <c r="D247" s="21"/>
      <c r="E247" s="21"/>
      <c r="F247" s="21"/>
      <c r="G247" s="22" t="s">
        <v>274</v>
      </c>
      <c r="H247" s="163">
        <f>SUM(H188:H245)</f>
        <v>0</v>
      </c>
    </row>
    <row r="248" spans="1:9" ht="12.75" thickBot="1">
      <c r="A248" s="2"/>
      <c r="B248" s="2"/>
      <c r="C248" s="2"/>
      <c r="D248" s="2"/>
      <c r="E248" s="2"/>
      <c r="F248" s="2"/>
      <c r="G248" s="34"/>
      <c r="H248" s="164"/>
    </row>
    <row r="249" spans="1:9" ht="13.5" thickBot="1">
      <c r="A249" s="6"/>
      <c r="B249" s="18" t="s">
        <v>281</v>
      </c>
      <c r="C249" s="18"/>
      <c r="D249" s="18"/>
      <c r="E249" s="18"/>
      <c r="F249" s="18"/>
      <c r="G249" s="19" t="s">
        <v>274</v>
      </c>
      <c r="H249" s="166">
        <f>IF(E11=Lijsten!A5,0,SUM(H70+H127+H183+H247))</f>
        <v>0</v>
      </c>
      <c r="I249" s="138" t="str">
        <f>IF(AND(SUM(H70,H127,H247)&gt;0,H249=0)," &lt;-- Het totale bedrag wordt (nog) niet bepaald, omdat u boven aan dit blad nog geen loonkosten systematiek heeft gekozen","")</f>
        <v/>
      </c>
    </row>
    <row r="250" spans="1:9" ht="12.75" thickBot="1">
      <c r="A250" s="6"/>
      <c r="B250" s="9"/>
      <c r="C250" s="9"/>
      <c r="D250" s="9"/>
      <c r="E250" s="9"/>
      <c r="F250" s="9"/>
      <c r="G250" s="34"/>
      <c r="H250" s="164"/>
      <c r="I250" s="139"/>
    </row>
    <row r="251" spans="1:9" ht="12.75">
      <c r="A251" s="6"/>
      <c r="B251" s="63" t="s">
        <v>282</v>
      </c>
      <c r="C251" s="406"/>
      <c r="D251" s="406"/>
      <c r="E251" s="54"/>
      <c r="F251" s="54"/>
      <c r="G251" s="64"/>
      <c r="H251" s="233">
        <f>VLOOKUP(E8,Lijsten!A14:B16,2,0)</f>
        <v>0.5</v>
      </c>
      <c r="I251" s="138" t="str">
        <f>IF(AND($H$249&gt;0,H251=0)," &lt;-- Let op: Bovenaan dit blad is nog geen organisatiesoort geselecteerd.","")</f>
        <v/>
      </c>
    </row>
    <row r="252" spans="1:9" ht="12.75">
      <c r="A252" s="6"/>
      <c r="B252" s="65" t="s">
        <v>283</v>
      </c>
      <c r="C252" s="340"/>
      <c r="D252" s="340"/>
      <c r="E252" s="6"/>
      <c r="G252" s="55" t="str">
        <f>IF(H251*H249&gt;$J$8,"Maximum subsidy is limited on","")</f>
        <v/>
      </c>
      <c r="H252" s="175">
        <f>IF(H251*H249&gt;$J$8,$J$8,H251*H249)</f>
        <v>0</v>
      </c>
      <c r="I252" s="138"/>
    </row>
    <row r="253" spans="1:9" ht="12.75">
      <c r="A253" s="6"/>
      <c r="B253" s="65" t="s">
        <v>284</v>
      </c>
      <c r="C253" s="340"/>
      <c r="D253" s="340"/>
      <c r="F253" s="55"/>
      <c r="G253" s="34"/>
      <c r="H253" s="167">
        <v>0</v>
      </c>
      <c r="I253" s="138"/>
    </row>
    <row r="254" spans="1:9" ht="12.75">
      <c r="A254" s="6"/>
      <c r="B254" s="65" t="s">
        <v>283</v>
      </c>
      <c r="C254" s="340"/>
      <c r="D254" s="340"/>
      <c r="F254" s="55"/>
      <c r="G254" s="34"/>
      <c r="H254" s="175">
        <f>H252-H253</f>
        <v>0</v>
      </c>
      <c r="I254" s="138"/>
    </row>
    <row r="255" spans="1:9" ht="13.5" thickBot="1">
      <c r="A255" s="6"/>
      <c r="B255" s="66" t="s">
        <v>285</v>
      </c>
      <c r="C255" s="342"/>
      <c r="D255" s="342"/>
      <c r="E255" s="67"/>
      <c r="F255" s="56"/>
      <c r="G255" s="56"/>
      <c r="H255" s="168">
        <v>0</v>
      </c>
      <c r="I255" s="138" t="str">
        <f>IF(AND(H252&lt;&gt;0,H255&lt;0.1)," &lt;-- Vul de gevraagde subsidie in.",IF(H255&gt;H254," &lt;-- De gevraagde subsidie is hoger dan de maximale subsidie.",""))</f>
        <v/>
      </c>
    </row>
    <row r="256" spans="1:9" ht="12.75" thickBot="1">
      <c r="A256" s="2"/>
      <c r="B256" s="2"/>
      <c r="C256" s="2"/>
      <c r="D256" s="2"/>
      <c r="E256" s="2"/>
      <c r="F256" s="2"/>
      <c r="G256" s="2"/>
      <c r="H256" s="164"/>
    </row>
    <row r="257" spans="1:8" ht="13.5" thickBot="1">
      <c r="A257" s="2"/>
      <c r="B257" s="35" t="s">
        <v>286</v>
      </c>
      <c r="C257" s="36"/>
      <c r="D257" s="36"/>
      <c r="E257" s="36"/>
      <c r="F257" s="36"/>
      <c r="G257" s="36"/>
      <c r="H257" s="169"/>
    </row>
    <row r="258" spans="1:8" ht="12" customHeight="1">
      <c r="B258" s="565"/>
      <c r="C258" s="566"/>
      <c r="D258" s="566"/>
      <c r="E258" s="566"/>
      <c r="F258" s="566"/>
      <c r="G258" s="566"/>
      <c r="H258" s="567"/>
    </row>
    <row r="259" spans="1:8" ht="12" customHeight="1">
      <c r="B259" s="565"/>
      <c r="C259" s="566"/>
      <c r="D259" s="566"/>
      <c r="E259" s="566"/>
      <c r="F259" s="566"/>
      <c r="G259" s="566"/>
      <c r="H259" s="567"/>
    </row>
    <row r="260" spans="1:8" ht="12" customHeight="1">
      <c r="B260" s="565"/>
      <c r="C260" s="566"/>
      <c r="D260" s="566"/>
      <c r="E260" s="566"/>
      <c r="F260" s="566"/>
      <c r="G260" s="566"/>
      <c r="H260" s="567"/>
    </row>
    <row r="261" spans="1:8" ht="12" customHeight="1">
      <c r="B261" s="565"/>
      <c r="C261" s="566"/>
      <c r="D261" s="566"/>
      <c r="E261" s="566"/>
      <c r="F261" s="566"/>
      <c r="G261" s="566"/>
      <c r="H261" s="567"/>
    </row>
    <row r="262" spans="1:8" ht="12" customHeight="1">
      <c r="B262" s="565"/>
      <c r="C262" s="566"/>
      <c r="D262" s="566"/>
      <c r="E262" s="566"/>
      <c r="F262" s="566"/>
      <c r="G262" s="566"/>
      <c r="H262" s="567"/>
    </row>
    <row r="263" spans="1:8" ht="12" customHeight="1">
      <c r="B263" s="565"/>
      <c r="C263" s="566"/>
      <c r="D263" s="566"/>
      <c r="E263" s="566"/>
      <c r="F263" s="566"/>
      <c r="G263" s="566"/>
      <c r="H263" s="567"/>
    </row>
    <row r="264" spans="1:8" ht="12" customHeight="1">
      <c r="B264" s="565"/>
      <c r="C264" s="566"/>
      <c r="D264" s="566"/>
      <c r="E264" s="566"/>
      <c r="F264" s="566"/>
      <c r="G264" s="566"/>
      <c r="H264" s="567"/>
    </row>
    <row r="265" spans="1:8" ht="12" customHeight="1">
      <c r="B265" s="565"/>
      <c r="C265" s="566"/>
      <c r="D265" s="566"/>
      <c r="E265" s="566"/>
      <c r="F265" s="566"/>
      <c r="G265" s="566"/>
      <c r="H265" s="567"/>
    </row>
    <row r="266" spans="1:8" ht="12" customHeight="1">
      <c r="B266" s="565"/>
      <c r="C266" s="566"/>
      <c r="D266" s="566"/>
      <c r="E266" s="566"/>
      <c r="F266" s="566"/>
      <c r="G266" s="566"/>
      <c r="H266" s="567"/>
    </row>
    <row r="267" spans="1:8" ht="12" customHeight="1">
      <c r="B267" s="565"/>
      <c r="C267" s="566"/>
      <c r="D267" s="566"/>
      <c r="E267" s="566"/>
      <c r="F267" s="566"/>
      <c r="G267" s="566"/>
      <c r="H267" s="567"/>
    </row>
    <row r="268" spans="1:8" ht="12" customHeight="1">
      <c r="B268" s="568"/>
      <c r="C268" s="569"/>
      <c r="D268" s="569"/>
      <c r="E268" s="569"/>
      <c r="F268" s="569"/>
      <c r="G268" s="569"/>
      <c r="H268" s="570"/>
    </row>
    <row r="269" spans="1:8" ht="12" customHeight="1" thickBot="1">
      <c r="B269" s="571"/>
      <c r="C269" s="572"/>
      <c r="D269" s="572"/>
      <c r="E269" s="572"/>
      <c r="F269" s="572"/>
      <c r="G269" s="572"/>
      <c r="H269" s="573"/>
    </row>
  </sheetData>
  <sheetProtection algorithmName="SHA-512" hashValue="+wD4B94JS0ButpE0GiaFxVRFmSQoHf4u4pxpSaT0D6n6+0vCGb3IqozxlpNhBG7bhz6aP6pES0IpZJCR+qcDfQ==" saltValue="BDE9GTFo3AFwSIcqY7Z2HA==" spinCount="100000" sheet="1" objects="1" scenarios="1"/>
  <mergeCells count="14">
    <mergeCell ref="B13:G13"/>
    <mergeCell ref="B264:H264"/>
    <mergeCell ref="B258:H258"/>
    <mergeCell ref="B259:H259"/>
    <mergeCell ref="B260:H260"/>
    <mergeCell ref="B261:H261"/>
    <mergeCell ref="B262:H262"/>
    <mergeCell ref="B263:H263"/>
    <mergeCell ref="G14:G15"/>
    <mergeCell ref="B265:H265"/>
    <mergeCell ref="B266:H266"/>
    <mergeCell ref="B267:H267"/>
    <mergeCell ref="B268:H268"/>
    <mergeCell ref="B269:H269"/>
  </mergeCells>
  <phoneticPr fontId="22" type="noConversion"/>
  <conditionalFormatting sqref="B13:D13">
    <cfRule type="cellIs" dxfId="29" priority="4" stopIfTrue="1" operator="equal">
      <formula>"Selecteer eerst hierboven de juiste loonkosten systematiek."</formula>
    </cfRule>
  </conditionalFormatting>
  <conditionalFormatting sqref="B74:D74">
    <cfRule type="cellIs" dxfId="28" priority="6" stopIfTrue="1" operator="equal">
      <formula>"Kies eerst uw systematiek voor de berekening van de subsidiabele kosten"</formula>
    </cfRule>
  </conditionalFormatting>
  <conditionalFormatting sqref="B187:D187">
    <cfRule type="cellIs" dxfId="27" priority="5" stopIfTrue="1" operator="equal">
      <formula>"Kies eerst uw systematiek voor de berekening van de subsidiabele kosten"</formula>
    </cfRule>
  </conditionalFormatting>
  <conditionalFormatting sqref="G69">
    <cfRule type="cellIs" dxfId="26" priority="3" stopIfTrue="1" operator="equal">
      <formula>"Opslag algemene kosten (50%)"</formula>
    </cfRule>
  </conditionalFormatting>
  <conditionalFormatting sqref="H255">
    <cfRule type="cellIs" dxfId="25" priority="2" operator="greaterThan">
      <formula>$H$252</formula>
    </cfRule>
  </conditionalFormatting>
  <dataValidations count="6">
    <dataValidation type="whole" allowBlank="1" showInputMessage="1" showErrorMessage="1" sqref="E9" xr:uid="{CD128808-097E-084A-9209-0AEB337B03FD}">
      <formula1>1</formula1>
      <formula2>50</formula2>
    </dataValidation>
    <dataValidation type="whole" allowBlank="1" showInputMessage="1" showErrorMessage="1" sqref="H252" xr:uid="{FB7B03AB-0A28-4448-89ED-CDA9C96F252A}">
      <formula1>0</formula1>
      <formula2>2000000</formula2>
    </dataValidation>
    <dataValidation allowBlank="1" showErrorMessage="1" sqref="C238:D245" xr:uid="{5440B085-C4B4-4646-896D-B8DB2745D626}"/>
    <dataValidation type="list" allowBlank="1" showInputMessage="1" showErrorMessage="1" sqref="E7" xr:uid="{0E6EC6E7-E393-EF41-8BD6-1E6058C5615A}">
      <formula1>Organisatiesoort</formula1>
    </dataValidation>
    <dataValidation type="list" allowBlank="1" showErrorMessage="1" errorTitle="Onjuiste invoer" error="Maak een keuze tussen de integrale kostensystematiek, de loonkosten plus vaste opslag-systematiek of de vaste uurtarief-systematiek." sqref="E11" xr:uid="{3067C39B-897A-1F4F-A21E-EA787227F022}">
      <formula1>Kostensystematiek</formula1>
    </dataValidation>
    <dataValidation type="date" operator="greaterThan" allowBlank="1" showInputMessage="1" showErrorMessage="1" error="Voer een geldige datum in die na de startdatum ligt." sqref="E5" xr:uid="{EFFCB4CC-1334-1D43-91C4-92E266A588C0}">
      <formula1>E4</formula1>
    </dataValidation>
  </dataValidations>
  <printOptions horizontalCentered="1"/>
  <pageMargins left="0.19685039370078741" right="0.19685039370078741" top="0.55118110236220474" bottom="0.39370078740157483" header="0" footer="0"/>
  <pageSetup paperSize="9" scale="81" orientation="portrait"/>
  <headerFooter alignWithMargins="0">
    <oddHeader>&amp;L&amp;F</oddHeader>
  </headerFooter>
  <extLst>
    <ext xmlns:x14="http://schemas.microsoft.com/office/spreadsheetml/2009/9/main" uri="{CCE6A557-97BC-4b89-ADB6-D9C93CAAB3DF}">
      <x14:dataValidations xmlns:xm="http://schemas.microsoft.com/office/excel/2006/main" count="6">
        <x14:dataValidation type="list" allowBlank="1" showInputMessage="1" showErrorMessage="1" xr:uid="{071B45D4-AB9E-2047-AF9A-25A8059D129E}">
          <x14:formula1>
            <xm:f>Lijsten!$A$14:$A$15</xm:f>
          </x14:formula1>
          <xm:sqref>E8</xm:sqref>
        </x14:dataValidation>
        <x14:dataValidation type="list" allowBlank="1" showInputMessage="1" showErrorMessage="1" xr:uid="{334CABBC-0773-4240-BBAB-441360F4451A}">
          <x14:formula1>
            <xm:f>Lijsten!$D$19:$D$69</xm:f>
          </x14:formula1>
          <xm:sqref>H2 B16:B66 B75:B125 B188:B245 C188:D237 B132:B182</xm:sqref>
        </x14:dataValidation>
        <x14:dataValidation type="list" allowBlank="1" showInputMessage="1" showErrorMessage="1" xr:uid="{F41EC4F1-3471-4681-BA24-D0909E762F21}">
          <x14:formula1>
            <xm:f>Lijsten!$D$14:$D$17</xm:f>
          </x14:formula1>
          <xm:sqref>E16:E66 E188:E245</xm:sqref>
        </x14:dataValidation>
        <x14:dataValidation type="list" allowBlank="1" showErrorMessage="1" xr:uid="{1E82B2C7-428A-4C96-9851-00A7068D23B3}">
          <x14:formula1>
            <xm:f>Lijsten!$D$14:$D$17</xm:f>
          </x14:formula1>
          <xm:sqref>E75:E125 E132:E181</xm:sqref>
        </x14:dataValidation>
        <x14:dataValidation type="list" allowBlank="1" showInputMessage="1" showErrorMessage="1" xr:uid="{5B1929AF-AD48-7540-9B7E-B1A5B71FF262}">
          <x14:formula1>
            <xm:f>Lijsten!$A$24:$A$26</xm:f>
          </x14:formula1>
          <xm:sqref>E10</xm:sqref>
        </x14:dataValidation>
        <x14:dataValidation type="date" operator="greaterThanOrEqual" allowBlank="1" showInputMessage="1" showErrorMessage="1" error="Voer een geldige datum in die na de openstellingdatum van de regeling ligt." xr:uid="{88C88A58-EC29-1540-AEF6-31988BDCD5FF}">
          <x14:formula1>
            <xm:f>Lijsten!B2</xm:f>
          </x14:formula1>
          <xm:sqref>E4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7E5EB-A4E0-453A-9D53-27D93CB9EAEB}">
  <sheetPr transitionEvaluation="1">
    <tabColor rgb="FFFFFF00"/>
    <pageSetUpPr fitToPage="1"/>
  </sheetPr>
  <dimension ref="A1:N91"/>
  <sheetViews>
    <sheetView showGridLines="0" zoomScale="90" zoomScaleNormal="90" workbookViewId="0">
      <selection activeCell="D3" sqref="D3"/>
    </sheetView>
  </sheetViews>
  <sheetFormatPr defaultColWidth="10.875" defaultRowHeight="15.6" customHeight="1"/>
  <cols>
    <col min="1" max="1" width="19.875" customWidth="1"/>
    <col min="2" max="2" width="15.25" customWidth="1"/>
    <col min="3" max="3" width="30.5" customWidth="1"/>
    <col min="4" max="4" width="45.125" customWidth="1"/>
    <col min="5" max="5" width="20.5" customWidth="1"/>
    <col min="6" max="6" width="23.375" customWidth="1"/>
    <col min="7" max="7" width="11.75" style="170" customWidth="1"/>
    <col min="8" max="8" width="14.125" customWidth="1"/>
    <col min="9" max="10" width="10.875" hidden="1" customWidth="1"/>
    <col min="11" max="11" width="10.875" customWidth="1"/>
    <col min="12" max="12" width="42.75" customWidth="1"/>
    <col min="13" max="13" width="14.5" customWidth="1"/>
    <col min="14" max="14" width="18.375" customWidth="1"/>
  </cols>
  <sheetData>
    <row r="1" spans="1:14" ht="15.6" customHeight="1">
      <c r="A1" s="47"/>
      <c r="B1" s="47"/>
      <c r="C1" s="5"/>
      <c r="D1" s="5"/>
      <c r="E1" s="5"/>
      <c r="F1" s="33"/>
      <c r="G1" s="154"/>
    </row>
    <row r="2" spans="1:14" ht="12">
      <c r="A2" s="1"/>
      <c r="B2" s="1"/>
      <c r="C2" s="69" t="s">
        <v>255</v>
      </c>
      <c r="D2" s="358"/>
      <c r="E2" s="2"/>
      <c r="F2" s="3"/>
      <c r="G2" s="481" t="s">
        <v>256</v>
      </c>
      <c r="H2" s="499">
        <v>1</v>
      </c>
      <c r="I2" s="482"/>
      <c r="J2" s="482"/>
      <c r="K2" s="482"/>
      <c r="L2" s="482"/>
    </row>
    <row r="3" spans="1:14" ht="12">
      <c r="A3" s="6"/>
      <c r="B3" s="6"/>
      <c r="C3" s="70" t="s">
        <v>183</v>
      </c>
      <c r="D3" s="359"/>
      <c r="E3" s="7"/>
      <c r="F3" s="8"/>
      <c r="G3" s="483" t="s">
        <v>287</v>
      </c>
      <c r="H3" s="501" t="e" vm="1">
        <f>VLOOKUP(H2,A15:B24,2,0)</f>
        <v>#VALUE!</v>
      </c>
      <c r="I3" s="482"/>
      <c r="J3" s="482"/>
      <c r="K3" s="482"/>
      <c r="L3" s="482"/>
    </row>
    <row r="4" spans="1:14" ht="12.75">
      <c r="A4" s="6"/>
      <c r="B4" s="6"/>
      <c r="C4" s="70" t="s">
        <v>258</v>
      </c>
      <c r="D4" s="516"/>
      <c r="E4" s="48" t="str">
        <f>IF(AND(ISNUMBER(project_startdatum),regeling_datum_openstelling&gt;project_startdatum),"&lt;--  De startdatum ligt voor de openstellingsdatum van de regeling, dit is niet toegestaan.","")</f>
        <v/>
      </c>
      <c r="F4" s="8"/>
      <c r="G4" s="484" t="str">
        <f>Lijsten!F15</f>
        <v>a. purchase and installation of software and hardware for the adaption of the freight locomotive</v>
      </c>
      <c r="H4" s="485"/>
      <c r="I4" s="482"/>
      <c r="J4" s="482"/>
      <c r="K4" s="482"/>
      <c r="L4" s="482"/>
      <c r="M4" s="413">
        <f>SUMIFS($G$16:$G$24,$D$16:$D$24,G4,$A$16:$A$24,$H$2)*1.5+SUMIFS($G$33:$G$40,$C$33:$C$40,G4,$A$33:$A$40,$H$2)+SUMIFS($G$46:$G$53,$C$46:$C$53,G4,$A$46:$A$53,$H$2)+SUMIFS($G$60:$G$67,$C$60:$C$67,G4,$A$60:$A$67,$H$2)</f>
        <v>0</v>
      </c>
    </row>
    <row r="5" spans="1:14" ht="12.75">
      <c r="A5" s="6"/>
      <c r="B5" s="6"/>
      <c r="C5" s="70" t="s">
        <v>259</v>
      </c>
      <c r="D5" s="516"/>
      <c r="E5" s="138" t="str">
        <f>IF(I5&gt;1," vul de mijlpalenbegroting in","")</f>
        <v/>
      </c>
      <c r="F5" s="315"/>
      <c r="G5" s="484" t="str">
        <f>Lijsten!F16</f>
        <v>b. the unavailability of the freight locomotive (withdrawal) during the adaptation and development. Set on a year</v>
      </c>
      <c r="H5" s="485"/>
      <c r="I5" s="482"/>
      <c r="J5" s="482" t="e">
        <f>_xlfn.DAYS($E$5,$E$4)/365</f>
        <v>#VALUE!</v>
      </c>
      <c r="K5" s="482"/>
      <c r="L5" s="482"/>
      <c r="M5" s="413">
        <f>SUMIFS($G$16:$G$24,$D$16:$D$24,G5,$A$16:$A$24,$H$2)*1.5+SUMIFS($G$33:$G$40,$C$33:$C$40,G5,$A$33:$A$40,$H$2)+SUMIFS($G$60:$G$67,$C$60:$C$67,G5,$A$60:$A$67,$H$2)+SUMIFS($G$46:$G$53,$C$46:$C$53,G5,$A$46:$A$53,$H$2)</f>
        <v>0</v>
      </c>
    </row>
    <row r="6" spans="1:14" ht="12.75">
      <c r="A6" s="6"/>
      <c r="B6" s="6"/>
      <c r="C6" s="60" t="s">
        <v>169</v>
      </c>
      <c r="D6" s="76" t="s">
        <v>36</v>
      </c>
      <c r="E6" s="513" t="str">
        <f>IF(_xlfn.DAYS(project_einddatum,project_startdatum)&gt;730,"the duration cannot be longer than 2 years","")</f>
        <v/>
      </c>
      <c r="F6" s="8"/>
      <c r="G6" s="484" t="str">
        <f>Lijsten!F17</f>
        <v>c. the vehicle permit</v>
      </c>
      <c r="H6" s="485"/>
      <c r="I6" s="482"/>
      <c r="J6" s="482"/>
      <c r="K6" s="482"/>
      <c r="L6" s="482"/>
      <c r="M6" s="413">
        <f>SUMIFS($G$16:$G$24,$D$16:$D$24,G6,$A$16:$A$24,$H$2)*1.5+SUMIFS($G$33:$G$40,$C$33:$C$40,G6,$A$33:$A$40,$H$2)+SUMIFS($G$60:$G$67,$C$60:$C$67,G6,$A$60:$A$67,$H$2)+SUMIFS($G$46:$G$53,$C$46:$C$53,G6,$A$46:$A$53,$H$2)</f>
        <v>0</v>
      </c>
    </row>
    <row r="7" spans="1:14" ht="12.75">
      <c r="A7" s="6"/>
      <c r="B7" s="6"/>
      <c r="C7" s="65" t="s">
        <v>260</v>
      </c>
      <c r="D7" s="76" t="s">
        <v>36</v>
      </c>
      <c r="G7" s="484" t="str">
        <f>Lijsten!F18</f>
        <v>d. developing the prototype (development)</v>
      </c>
      <c r="H7" s="485"/>
      <c r="I7" s="482"/>
      <c r="J7" s="482"/>
      <c r="K7" s="482"/>
      <c r="L7" s="482"/>
      <c r="M7" s="413">
        <f t="shared" ref="M7" si="0">SUMIFS($G$16:$G$24,$D$16:$D$24,G7,$A$16:$A$24,$H$2)*1.5+SUMIFS($G$33:$G$40,$C$33:$C$40,G7,$A$33:$A$40,$H$2)+SUMIFS($G$60:$G$67,$C$60:$C$67,G7,$A$60:$A$67,$H$2)</f>
        <v>0</v>
      </c>
    </row>
    <row r="8" spans="1:14" ht="12.75">
      <c r="A8" s="6"/>
      <c r="B8" s="6"/>
      <c r="C8" s="60" t="s">
        <v>262</v>
      </c>
      <c r="D8" s="76" t="s">
        <v>60</v>
      </c>
      <c r="G8" s="483" t="s">
        <v>261</v>
      </c>
      <c r="H8" s="482"/>
      <c r="I8" s="482">
        <f>VLOOKUP(D8,Lijsten!A14:C16,3,FALSE)*D10</f>
        <v>0</v>
      </c>
      <c r="J8" s="482"/>
      <c r="K8" s="482"/>
      <c r="L8" s="482"/>
      <c r="M8" s="413">
        <f>M4+M5+M6+M7</f>
        <v>0</v>
      </c>
    </row>
    <row r="9" spans="1:14" ht="12.75" hidden="1">
      <c r="A9" s="6"/>
      <c r="B9" s="6"/>
      <c r="C9" s="60" t="s">
        <v>263</v>
      </c>
      <c r="D9" s="76"/>
      <c r="E9" s="138" t="str">
        <f>IF(D8="Aanpassing serie-matig","vul het aantal locomotieven in"," ")</f>
        <v xml:space="preserve"> </v>
      </c>
      <c r="G9" s="487"/>
      <c r="H9" s="482"/>
      <c r="I9" s="482"/>
      <c r="J9" s="482"/>
      <c r="K9" s="482"/>
      <c r="L9" s="482"/>
    </row>
    <row r="10" spans="1:14" ht="12.75">
      <c r="A10" s="6"/>
      <c r="B10" s="6"/>
      <c r="C10" s="60" t="s">
        <v>288</v>
      </c>
      <c r="D10" s="76" t="s">
        <v>36</v>
      </c>
      <c r="E10" s="138" t="str">
        <f>IF(D8="Ontwikkeling prototype","Fill in the amount of prototypes"," ")</f>
        <v xml:space="preserve"> </v>
      </c>
      <c r="G10" s="486" t="s">
        <v>188</v>
      </c>
      <c r="H10" s="482"/>
      <c r="I10" s="482"/>
      <c r="J10" s="482"/>
      <c r="K10" s="482"/>
      <c r="L10" s="482"/>
      <c r="M10" s="413">
        <f>IF((M8*0.5)&lt;2000000,M8*0.5,2000000)</f>
        <v>0</v>
      </c>
    </row>
    <row r="11" spans="1:14" ht="12.75" customHeight="1" thickBot="1">
      <c r="A11" s="311"/>
      <c r="B11" s="311"/>
      <c r="C11" s="312" t="s">
        <v>264</v>
      </c>
      <c r="D11" s="313" t="s">
        <v>43</v>
      </c>
      <c r="G11" s="483" t="s">
        <v>189</v>
      </c>
      <c r="H11" s="482"/>
      <c r="I11" s="488"/>
      <c r="J11" s="482"/>
      <c r="K11" s="482"/>
      <c r="L11" s="482"/>
      <c r="M11" s="502" t="e">
        <f>G77/D10</f>
        <v>#DIV/0!</v>
      </c>
      <c r="N11" s="416" t="e">
        <f>IF(M11&gt;M10,"&lt;-- The requested subsidy exceeds the maximum subsidy per locomotive","")</f>
        <v>#DIV/0!</v>
      </c>
    </row>
    <row r="12" spans="1:14" ht="12">
      <c r="A12" s="6"/>
      <c r="B12" s="6"/>
      <c r="C12" s="9"/>
      <c r="D12" s="8"/>
      <c r="E12" s="7"/>
      <c r="F12" s="8"/>
      <c r="G12" s="155"/>
      <c r="I12" s="136"/>
      <c r="J12" s="137"/>
    </row>
    <row r="13" spans="1:14" ht="12">
      <c r="A13" s="382" t="s">
        <v>220</v>
      </c>
      <c r="B13" s="414"/>
      <c r="C13" s="575" t="str">
        <f>IF(D11="[Maak een keuze]","Selecteer eerst hierboven de juiste loonkosten systematiek.",(IF(D11="Direct labour costs plus fixed surcharge (50%)","Direct labour costs",(IF(D11="integrale kostensystematiek","Directe en indirecte kosten op basis van integraal tarief","Directe en indirecte kosten op basis van vast tarief")))))</f>
        <v>Direct labour costs</v>
      </c>
      <c r="D13" s="576"/>
      <c r="E13" s="576"/>
      <c r="F13" s="576"/>
      <c r="G13" s="157"/>
      <c r="I13" s="136"/>
      <c r="J13" s="137"/>
    </row>
    <row r="14" spans="1:14" ht="12.75">
      <c r="A14" s="383"/>
      <c r="B14" s="6"/>
      <c r="C14" s="2"/>
      <c r="D14" s="2"/>
      <c r="E14" s="2"/>
      <c r="F14" s="10"/>
      <c r="G14" s="158"/>
      <c r="I14" s="136"/>
      <c r="J14" s="137"/>
      <c r="L14" s="242"/>
    </row>
    <row r="15" spans="1:14" ht="12">
      <c r="A15" s="383" t="s">
        <v>289</v>
      </c>
      <c r="B15" s="6" t="s">
        <v>257</v>
      </c>
      <c r="C15" s="11" t="s">
        <v>268</v>
      </c>
      <c r="D15" s="11" t="s">
        <v>290</v>
      </c>
      <c r="E15" s="4" t="s">
        <v>270</v>
      </c>
      <c r="F15" s="11" t="s">
        <v>266</v>
      </c>
      <c r="G15" s="158" t="s">
        <v>271</v>
      </c>
      <c r="I15" s="136"/>
      <c r="J15" s="137"/>
      <c r="K15" s="333"/>
    </row>
    <row r="16" spans="1:14" ht="12">
      <c r="A16" s="53" t="s">
        <v>36</v>
      </c>
      <c r="B16" s="272"/>
      <c r="C16" s="53"/>
      <c r="D16" s="53" t="s">
        <v>36</v>
      </c>
      <c r="E16" s="24"/>
      <c r="F16" s="12"/>
      <c r="G16" s="159">
        <f>E16*F16</f>
        <v>0</v>
      </c>
      <c r="I16" s="136"/>
      <c r="J16" s="137"/>
      <c r="K16" s="333"/>
    </row>
    <row r="17" spans="1:11" ht="12">
      <c r="A17" s="53"/>
      <c r="B17" s="272"/>
      <c r="C17" s="53"/>
      <c r="D17" s="53"/>
      <c r="E17" s="24"/>
      <c r="F17" s="12"/>
      <c r="G17" s="159">
        <f t="shared" ref="G17:G24" si="1">E17*F17</f>
        <v>0</v>
      </c>
      <c r="I17" s="136"/>
      <c r="J17" s="137"/>
      <c r="K17" s="333"/>
    </row>
    <row r="18" spans="1:11" ht="12">
      <c r="A18" s="53"/>
      <c r="B18" s="272"/>
      <c r="C18" s="53"/>
      <c r="D18" s="53"/>
      <c r="E18" s="24"/>
      <c r="F18" s="12"/>
      <c r="G18" s="159">
        <f t="shared" si="1"/>
        <v>0</v>
      </c>
      <c r="I18" s="136"/>
      <c r="J18" s="137"/>
      <c r="K18" s="333"/>
    </row>
    <row r="19" spans="1:11" ht="12">
      <c r="A19" s="53"/>
      <c r="B19" s="272"/>
      <c r="C19" s="53"/>
      <c r="D19" s="53"/>
      <c r="E19" s="24"/>
      <c r="F19" s="12"/>
      <c r="G19" s="159">
        <f t="shared" si="1"/>
        <v>0</v>
      </c>
      <c r="I19" s="136"/>
      <c r="J19" s="137"/>
    </row>
    <row r="20" spans="1:11" ht="12">
      <c r="A20" s="53"/>
      <c r="B20" s="272"/>
      <c r="C20" s="53"/>
      <c r="D20" s="53"/>
      <c r="E20" s="24"/>
      <c r="F20" s="12"/>
      <c r="G20" s="159">
        <f t="shared" si="1"/>
        <v>0</v>
      </c>
    </row>
    <row r="21" spans="1:11" ht="12">
      <c r="A21" s="53"/>
      <c r="B21" s="272"/>
      <c r="C21" s="53"/>
      <c r="D21" s="53"/>
      <c r="E21" s="24"/>
      <c r="F21" s="12"/>
      <c r="G21" s="159">
        <f t="shared" si="1"/>
        <v>0</v>
      </c>
    </row>
    <row r="22" spans="1:11" ht="12">
      <c r="A22" s="53"/>
      <c r="B22" s="272"/>
      <c r="C22" s="53"/>
      <c r="D22" s="53"/>
      <c r="E22" s="24"/>
      <c r="F22" s="12"/>
      <c r="G22" s="159">
        <f t="shared" si="1"/>
        <v>0</v>
      </c>
    </row>
    <row r="23" spans="1:11" ht="12">
      <c r="A23" s="53"/>
      <c r="B23" s="272"/>
      <c r="C23" s="53"/>
      <c r="D23" s="53"/>
      <c r="E23" s="24"/>
      <c r="F23" s="12"/>
      <c r="G23" s="159">
        <f t="shared" si="1"/>
        <v>0</v>
      </c>
    </row>
    <row r="24" spans="1:11" ht="12">
      <c r="A24" s="53"/>
      <c r="B24" s="272"/>
      <c r="C24" s="53"/>
      <c r="D24" s="53"/>
      <c r="E24" s="24"/>
      <c r="F24" s="12"/>
      <c r="G24" s="159">
        <f t="shared" si="1"/>
        <v>0</v>
      </c>
    </row>
    <row r="25" spans="1:11" ht="12.75">
      <c r="A25" s="383"/>
      <c r="B25" s="6"/>
      <c r="C25" s="2"/>
      <c r="D25" s="2"/>
      <c r="E25" s="25"/>
      <c r="F25" s="26" t="s">
        <v>272</v>
      </c>
      <c r="G25" s="160">
        <f>SUM(G16:G24)</f>
        <v>0</v>
      </c>
      <c r="H25" s="391"/>
    </row>
    <row r="26" spans="1:11" ht="12">
      <c r="A26" s="383"/>
      <c r="B26" s="6"/>
      <c r="C26" s="9"/>
      <c r="D26" s="9"/>
      <c r="E26" s="27"/>
      <c r="F26" s="27"/>
      <c r="G26" s="161"/>
    </row>
    <row r="27" spans="1:11" ht="27" customHeight="1">
      <c r="A27" s="383"/>
      <c r="B27" s="6"/>
      <c r="C27" s="9"/>
      <c r="D27" s="9"/>
      <c r="E27" s="2"/>
      <c r="F27" s="28" t="str">
        <f>IF(D11="Direct labour costs plus fixed surcharge (50%)","Fixed surcharge (50%)","No surcharge")</f>
        <v>Fixed surcharge (50%)</v>
      </c>
      <c r="G27" s="160">
        <f>IF($D11=Lijsten!$D$6,G25*0.5,0)</f>
        <v>0</v>
      </c>
    </row>
    <row r="28" spans="1:11" ht="12">
      <c r="A28" s="385"/>
      <c r="B28" s="415"/>
      <c r="C28" s="21"/>
      <c r="D28" s="21"/>
      <c r="E28" s="29"/>
      <c r="F28" s="22" t="s">
        <v>274</v>
      </c>
      <c r="G28" s="163">
        <f>SUM(G16:G24,G27)</f>
        <v>0</v>
      </c>
    </row>
    <row r="29" spans="1:11" ht="12">
      <c r="A29" s="2"/>
      <c r="B29" s="2"/>
      <c r="C29" s="2"/>
      <c r="D29" s="2"/>
      <c r="E29" s="2"/>
      <c r="F29" s="2"/>
      <c r="G29" s="164"/>
    </row>
    <row r="30" spans="1:11" ht="12">
      <c r="A30" s="382" t="s">
        <v>238</v>
      </c>
      <c r="B30" s="414"/>
      <c r="C30" s="54" t="s">
        <v>275</v>
      </c>
      <c r="D30" s="20"/>
      <c r="E30" s="20"/>
      <c r="F30" s="20"/>
      <c r="G30" s="157"/>
    </row>
    <row r="31" spans="1:11" ht="12">
      <c r="A31" s="383"/>
      <c r="B31" s="6"/>
      <c r="C31" s="2"/>
      <c r="D31" s="2"/>
      <c r="E31" s="2"/>
      <c r="F31" s="10"/>
      <c r="G31" s="158"/>
    </row>
    <row r="32" spans="1:11" ht="12">
      <c r="A32" s="383" t="s">
        <v>289</v>
      </c>
      <c r="B32" s="6"/>
      <c r="C32" s="579" t="s">
        <v>290</v>
      </c>
      <c r="D32" s="579"/>
      <c r="E32" s="11" t="s">
        <v>276</v>
      </c>
      <c r="F32" s="11"/>
      <c r="G32" s="158" t="s">
        <v>277</v>
      </c>
    </row>
    <row r="33" spans="1:7" ht="12">
      <c r="A33" s="59" t="s">
        <v>36</v>
      </c>
      <c r="B33" s="419">
        <f>VLOOKUP(A33,$A$16:$B$24,2,0)</f>
        <v>0</v>
      </c>
      <c r="C33" s="53" t="s">
        <v>36</v>
      </c>
      <c r="D33" s="53"/>
      <c r="E33" s="582"/>
      <c r="F33" s="583"/>
      <c r="G33" s="165"/>
    </row>
    <row r="34" spans="1:7" ht="12">
      <c r="A34" s="59"/>
      <c r="B34" s="419">
        <f t="shared" ref="B34:B40" si="2">VLOOKUP(A34,$A$16:$B$24,2,0)</f>
        <v>0</v>
      </c>
      <c r="C34" s="53"/>
      <c r="D34" s="53"/>
      <c r="E34" s="578"/>
      <c r="F34" s="578"/>
      <c r="G34" s="165"/>
    </row>
    <row r="35" spans="1:7" ht="12">
      <c r="A35" s="59"/>
      <c r="B35" s="419">
        <f t="shared" si="2"/>
        <v>0</v>
      </c>
      <c r="C35" s="53"/>
      <c r="D35" s="53"/>
      <c r="E35" s="578"/>
      <c r="F35" s="580"/>
      <c r="G35" s="165"/>
    </row>
    <row r="36" spans="1:7" ht="12">
      <c r="A36" s="59"/>
      <c r="B36" s="419">
        <f t="shared" si="2"/>
        <v>0</v>
      </c>
      <c r="C36" s="53"/>
      <c r="D36" s="53"/>
      <c r="E36" s="578"/>
      <c r="F36" s="580"/>
      <c r="G36" s="165"/>
    </row>
    <row r="37" spans="1:7" ht="12">
      <c r="A37" s="59"/>
      <c r="B37" s="419">
        <f t="shared" si="2"/>
        <v>0</v>
      </c>
      <c r="C37" s="53"/>
      <c r="D37" s="53"/>
      <c r="E37" s="578"/>
      <c r="F37" s="580"/>
      <c r="G37" s="165"/>
    </row>
    <row r="38" spans="1:7" ht="12">
      <c r="A38" s="59"/>
      <c r="B38" s="419">
        <f t="shared" si="2"/>
        <v>0</v>
      </c>
      <c r="C38" s="53"/>
      <c r="D38" s="53"/>
      <c r="E38" s="578"/>
      <c r="F38" s="580"/>
      <c r="G38" s="165"/>
    </row>
    <row r="39" spans="1:7" ht="12">
      <c r="A39" s="59"/>
      <c r="B39" s="419">
        <f t="shared" si="2"/>
        <v>0</v>
      </c>
      <c r="C39" s="53"/>
      <c r="D39" s="53"/>
      <c r="E39" s="578"/>
      <c r="F39" s="580"/>
      <c r="G39" s="165"/>
    </row>
    <row r="40" spans="1:7" ht="12">
      <c r="A40" s="59"/>
      <c r="B40" s="419">
        <f t="shared" si="2"/>
        <v>0</v>
      </c>
      <c r="C40" s="53"/>
      <c r="D40" s="53"/>
      <c r="E40" s="578"/>
      <c r="F40" s="580"/>
      <c r="G40" s="165"/>
    </row>
    <row r="41" spans="1:7" ht="12">
      <c r="A41" s="384"/>
      <c r="B41" s="420"/>
      <c r="C41" s="2"/>
      <c r="D41" s="2"/>
      <c r="E41" s="2"/>
      <c r="F41" s="13"/>
      <c r="G41" s="158"/>
    </row>
    <row r="42" spans="1:7" ht="12">
      <c r="A42" s="385"/>
      <c r="B42" s="421"/>
      <c r="C42" s="21"/>
      <c r="D42" s="21"/>
      <c r="E42" s="22"/>
      <c r="F42" s="22" t="s">
        <v>274</v>
      </c>
      <c r="G42" s="163">
        <f>SUM(G33:G40)</f>
        <v>0</v>
      </c>
    </row>
    <row r="43" spans="1:7" ht="12">
      <c r="A43" s="6" t="s">
        <v>278</v>
      </c>
      <c r="B43" s="422"/>
      <c r="C43" s="9" t="s">
        <v>291</v>
      </c>
      <c r="D43" s="2"/>
      <c r="E43" s="2"/>
      <c r="F43" s="2"/>
      <c r="G43" s="164"/>
    </row>
    <row r="44" spans="1:7" ht="12">
      <c r="A44" s="2"/>
      <c r="B44" s="422"/>
      <c r="C44" s="2"/>
      <c r="D44" s="2"/>
      <c r="E44" s="2"/>
      <c r="F44" s="2"/>
      <c r="G44" s="164"/>
    </row>
    <row r="45" spans="1:7" ht="12">
      <c r="A45" s="9" t="s">
        <v>289</v>
      </c>
      <c r="B45" s="422"/>
      <c r="C45" s="579" t="s">
        <v>290</v>
      </c>
      <c r="D45" s="579"/>
      <c r="E45" s="11" t="s">
        <v>276</v>
      </c>
      <c r="F45" s="2"/>
      <c r="G45" s="164"/>
    </row>
    <row r="46" spans="1:7" ht="12">
      <c r="A46" s="59" t="s">
        <v>36</v>
      </c>
      <c r="B46" s="419">
        <f>VLOOKUP(A46,$A$16:$B$24,2,0)</f>
        <v>0</v>
      </c>
      <c r="C46" s="53" t="s">
        <v>36</v>
      </c>
      <c r="D46" s="53"/>
      <c r="E46" s="582"/>
      <c r="F46" s="583"/>
      <c r="G46" s="165"/>
    </row>
    <row r="47" spans="1:7" ht="12">
      <c r="A47" s="59"/>
      <c r="B47" s="419">
        <f t="shared" ref="B47:B53" si="3">VLOOKUP(A47,$A$16:$B$24,2,0)</f>
        <v>0</v>
      </c>
      <c r="C47" s="53"/>
      <c r="D47" s="53"/>
      <c r="E47" s="578"/>
      <c r="F47" s="578"/>
      <c r="G47" s="165"/>
    </row>
    <row r="48" spans="1:7" ht="12">
      <c r="A48" s="59"/>
      <c r="B48" s="419">
        <f t="shared" si="3"/>
        <v>0</v>
      </c>
      <c r="C48" s="53"/>
      <c r="D48" s="53"/>
      <c r="E48" s="578"/>
      <c r="F48" s="580"/>
      <c r="G48" s="165"/>
    </row>
    <row r="49" spans="1:7" ht="12">
      <c r="A49" s="59"/>
      <c r="B49" s="419">
        <f t="shared" si="3"/>
        <v>0</v>
      </c>
      <c r="C49" s="53"/>
      <c r="D49" s="53"/>
      <c r="E49" s="578"/>
      <c r="F49" s="580"/>
      <c r="G49" s="165"/>
    </row>
    <row r="50" spans="1:7" ht="12">
      <c r="A50" s="59"/>
      <c r="B50" s="419">
        <f t="shared" si="3"/>
        <v>0</v>
      </c>
      <c r="C50" s="53"/>
      <c r="D50" s="53"/>
      <c r="E50" s="578"/>
      <c r="F50" s="580"/>
      <c r="G50" s="165"/>
    </row>
    <row r="51" spans="1:7" ht="12">
      <c r="A51" s="59"/>
      <c r="B51" s="419">
        <f t="shared" si="3"/>
        <v>0</v>
      </c>
      <c r="C51" s="53"/>
      <c r="D51" s="53"/>
      <c r="E51" s="578"/>
      <c r="F51" s="580"/>
      <c r="G51" s="165"/>
    </row>
    <row r="52" spans="1:7" ht="12">
      <c r="A52" s="59"/>
      <c r="B52" s="419">
        <f t="shared" si="3"/>
        <v>0</v>
      </c>
      <c r="C52" s="53"/>
      <c r="D52" s="53"/>
      <c r="E52" s="578"/>
      <c r="F52" s="580"/>
      <c r="G52" s="165"/>
    </row>
    <row r="53" spans="1:7" ht="12">
      <c r="A53" s="59"/>
      <c r="B53" s="419">
        <f t="shared" si="3"/>
        <v>0</v>
      </c>
      <c r="C53" s="53"/>
      <c r="D53" s="53"/>
      <c r="E53" s="578"/>
      <c r="F53" s="580"/>
      <c r="G53" s="165"/>
    </row>
    <row r="54" spans="1:7" ht="12.75" thickBot="1">
      <c r="A54" s="384"/>
      <c r="B54" s="420"/>
      <c r="C54" s="2"/>
      <c r="D54" s="2"/>
      <c r="E54" s="2"/>
      <c r="F54" s="13"/>
      <c r="G54" s="158"/>
    </row>
    <row r="55" spans="1:7" ht="12.75" thickBot="1">
      <c r="A55" s="385"/>
      <c r="B55" s="421"/>
      <c r="C55" s="21"/>
      <c r="D55" s="21"/>
      <c r="E55" s="22"/>
      <c r="F55" s="22" t="s">
        <v>274</v>
      </c>
      <c r="G55" s="163">
        <f>SUM(G46:G53)</f>
        <v>0</v>
      </c>
    </row>
    <row r="56" spans="1:7" ht="12.75" thickBot="1">
      <c r="A56" s="2"/>
      <c r="B56" s="422"/>
      <c r="C56" s="2"/>
      <c r="D56" s="2"/>
      <c r="E56" s="2"/>
      <c r="F56" s="2"/>
      <c r="G56" s="164"/>
    </row>
    <row r="57" spans="1:7" ht="12">
      <c r="A57" s="510" t="s">
        <v>292</v>
      </c>
      <c r="B57" s="423"/>
      <c r="C57" s="54" t="s">
        <v>280</v>
      </c>
      <c r="D57" s="20"/>
      <c r="E57" s="20"/>
      <c r="F57" s="20"/>
      <c r="G57" s="157"/>
    </row>
    <row r="58" spans="1:7" ht="12">
      <c r="A58" s="383"/>
      <c r="B58" s="424"/>
      <c r="C58" s="2"/>
      <c r="D58" s="2"/>
      <c r="E58" s="2"/>
      <c r="F58" s="10"/>
      <c r="G58" s="158"/>
    </row>
    <row r="59" spans="1:7" ht="12">
      <c r="A59" s="383" t="s">
        <v>289</v>
      </c>
      <c r="B59" s="424"/>
      <c r="C59" s="579" t="s">
        <v>290</v>
      </c>
      <c r="D59" s="579"/>
      <c r="E59" s="11" t="s">
        <v>276</v>
      </c>
      <c r="G59" s="158" t="s">
        <v>277</v>
      </c>
    </row>
    <row r="60" spans="1:7" ht="12">
      <c r="A60" s="59" t="s">
        <v>36</v>
      </c>
      <c r="B60" s="419">
        <f t="shared" ref="B60:B67" si="4">VLOOKUP(A60,$A$16:$B$24,2,0)</f>
        <v>0</v>
      </c>
      <c r="C60" s="582" t="s">
        <v>36</v>
      </c>
      <c r="D60" s="582"/>
      <c r="E60" s="581"/>
      <c r="F60" s="581"/>
      <c r="G60" s="165"/>
    </row>
    <row r="61" spans="1:7" ht="12">
      <c r="A61" s="59"/>
      <c r="B61" s="419">
        <f t="shared" si="4"/>
        <v>0</v>
      </c>
      <c r="C61" s="582"/>
      <c r="D61" s="582"/>
      <c r="E61" s="578"/>
      <c r="F61" s="578"/>
      <c r="G61" s="165"/>
    </row>
    <row r="62" spans="1:7" ht="12">
      <c r="A62" s="59"/>
      <c r="B62" s="419">
        <f t="shared" si="4"/>
        <v>0</v>
      </c>
      <c r="C62" s="582"/>
      <c r="D62" s="582"/>
      <c r="E62" s="578"/>
      <c r="F62" s="578"/>
      <c r="G62" s="165"/>
    </row>
    <row r="63" spans="1:7" ht="12">
      <c r="A63" s="59"/>
      <c r="B63" s="419">
        <f t="shared" si="4"/>
        <v>0</v>
      </c>
      <c r="C63" s="582"/>
      <c r="D63" s="582"/>
      <c r="E63" s="578"/>
      <c r="F63" s="578"/>
      <c r="G63" s="165"/>
    </row>
    <row r="64" spans="1:7" ht="12">
      <c r="A64" s="59"/>
      <c r="B64" s="419">
        <f t="shared" si="4"/>
        <v>0</v>
      </c>
      <c r="C64" s="582"/>
      <c r="D64" s="582"/>
      <c r="E64" s="578"/>
      <c r="F64" s="578"/>
      <c r="G64" s="165"/>
    </row>
    <row r="65" spans="1:8" ht="12">
      <c r="A65" s="59"/>
      <c r="B65" s="419">
        <f t="shared" si="4"/>
        <v>0</v>
      </c>
      <c r="C65" s="582"/>
      <c r="D65" s="582"/>
      <c r="E65" s="578"/>
      <c r="F65" s="578"/>
      <c r="G65" s="165"/>
    </row>
    <row r="66" spans="1:8" ht="12">
      <c r="A66" s="59"/>
      <c r="B66" s="419">
        <f t="shared" si="4"/>
        <v>0</v>
      </c>
      <c r="C66" s="584"/>
      <c r="D66" s="584"/>
      <c r="E66" s="578"/>
      <c r="F66" s="578"/>
      <c r="G66" s="165"/>
    </row>
    <row r="67" spans="1:8" ht="12">
      <c r="A67" s="59"/>
      <c r="B67" s="419">
        <f t="shared" si="4"/>
        <v>0</v>
      </c>
      <c r="C67" s="584"/>
      <c r="D67" s="584"/>
      <c r="E67" s="578"/>
      <c r="F67" s="578"/>
      <c r="G67" s="165"/>
    </row>
    <row r="68" spans="1:8" ht="12">
      <c r="A68" s="384"/>
      <c r="B68" s="1"/>
      <c r="C68" s="2"/>
      <c r="D68" s="2"/>
      <c r="E68" s="2"/>
      <c r="F68" s="13"/>
      <c r="G68" s="158"/>
    </row>
    <row r="69" spans="1:8" ht="12">
      <c r="A69" s="385"/>
      <c r="B69" s="415"/>
      <c r="C69" s="21"/>
      <c r="D69" s="21"/>
      <c r="E69" s="21"/>
      <c r="F69" s="22" t="s">
        <v>274</v>
      </c>
      <c r="G69" s="163">
        <f>SUM(G60:G67)</f>
        <v>0</v>
      </c>
    </row>
    <row r="70" spans="1:8" ht="12">
      <c r="A70" s="2"/>
      <c r="B70" s="2"/>
      <c r="C70" s="2"/>
      <c r="D70" s="2"/>
      <c r="E70" s="2"/>
      <c r="F70" s="34"/>
      <c r="G70" s="164"/>
    </row>
    <row r="71" spans="1:8" ht="12.75">
      <c r="A71" s="6"/>
      <c r="B71" s="6"/>
      <c r="C71" s="18" t="s">
        <v>293</v>
      </c>
      <c r="D71" s="18"/>
      <c r="E71" s="18"/>
      <c r="F71" s="19" t="s">
        <v>274</v>
      </c>
      <c r="G71" s="166">
        <f>IF(D11=Lijsten!A5,0,SUM(G28+G42+G55+G69))</f>
        <v>0</v>
      </c>
      <c r="H71" s="138" t="str">
        <f>IF(AND(SUM(G28,G42,G69)&gt;0,G71=0)," &lt;-- Het totale bedrag wordt (nog) niet bepaald, omdat u boven aan dit blad nog geen loonkosten systematiek heeft gekozen","")</f>
        <v/>
      </c>
    </row>
    <row r="72" spans="1:8" ht="12">
      <c r="A72" s="6"/>
      <c r="B72" s="6"/>
      <c r="C72" s="9"/>
      <c r="D72" s="9"/>
      <c r="E72" s="9"/>
      <c r="F72" s="34"/>
      <c r="G72" s="164"/>
      <c r="H72" s="139"/>
    </row>
    <row r="73" spans="1:8" ht="12.75">
      <c r="A73" s="6"/>
      <c r="B73" s="6"/>
      <c r="C73" s="63" t="s">
        <v>282</v>
      </c>
      <c r="D73" s="54"/>
      <c r="E73" s="54"/>
      <c r="F73" s="64"/>
      <c r="G73" s="233">
        <f>VLOOKUP(D8,Lijsten!A14:B16,2,0)</f>
        <v>0.5</v>
      </c>
      <c r="H73" s="138" t="str">
        <f>IF(AND($G$71&gt;0,G73=0)," &lt;-- Let op: Bovenaan dit blad is nog geen organisatiesoort geselecteerd.","")</f>
        <v/>
      </c>
    </row>
    <row r="74" spans="1:8" ht="12.75">
      <c r="A74" s="6"/>
      <c r="B74" s="6"/>
      <c r="C74" s="65" t="s">
        <v>283</v>
      </c>
      <c r="F74" s="55" t="str">
        <f>IF(G73*G71&gt;$I$8,"Maximum subsidy is limited on","")</f>
        <v/>
      </c>
      <c r="G74" s="175">
        <f>IF(G73*G71&gt;$I$8,$I$8,G73*G71)</f>
        <v>0</v>
      </c>
      <c r="H74" s="138"/>
    </row>
    <row r="75" spans="1:8" ht="12.75">
      <c r="A75" s="6"/>
      <c r="B75" s="6"/>
      <c r="C75" s="65" t="s">
        <v>284</v>
      </c>
      <c r="E75" s="55"/>
      <c r="F75" s="34"/>
      <c r="G75" s="167">
        <v>0</v>
      </c>
      <c r="H75" s="138"/>
    </row>
    <row r="76" spans="1:8" ht="12.75">
      <c r="A76" s="6"/>
      <c r="B76" s="6"/>
      <c r="C76" s="65" t="s">
        <v>283</v>
      </c>
      <c r="E76" s="55"/>
      <c r="F76" s="34"/>
      <c r="G76" s="175">
        <f>G74-G75</f>
        <v>0</v>
      </c>
      <c r="H76" s="138"/>
    </row>
    <row r="77" spans="1:8" ht="12.75">
      <c r="A77" s="6"/>
      <c r="B77" s="6"/>
      <c r="C77" s="66" t="s">
        <v>285</v>
      </c>
      <c r="D77" s="67"/>
      <c r="E77" s="56"/>
      <c r="F77" s="56"/>
      <c r="G77" s="168"/>
      <c r="H77" s="138" t="str">
        <f>IF(AND(G74&lt;&gt;0,G77&lt;0.1)," &lt;-- Fill in the requested subsidy.",IF(G77&gt;G76," &lt;-- The requested subsidy exceeds the maximum subsidy.",""))</f>
        <v/>
      </c>
    </row>
    <row r="78" spans="1:8" ht="12">
      <c r="A78" s="2"/>
      <c r="B78" s="2"/>
      <c r="C78" s="2"/>
      <c r="D78" s="2"/>
      <c r="E78" s="2"/>
      <c r="F78" s="2"/>
      <c r="G78" s="164"/>
    </row>
    <row r="79" spans="1:8" ht="12.75">
      <c r="A79" s="2"/>
      <c r="B79" s="2"/>
      <c r="C79" s="35" t="s">
        <v>286</v>
      </c>
      <c r="D79" s="36"/>
      <c r="E79" s="36"/>
      <c r="F79" s="36"/>
      <c r="G79" s="169"/>
    </row>
    <row r="80" spans="1:8" ht="12" customHeight="1">
      <c r="C80" s="565"/>
      <c r="D80" s="566"/>
      <c r="E80" s="566"/>
      <c r="F80" s="566"/>
      <c r="G80" s="567"/>
    </row>
    <row r="81" spans="3:7" ht="12" customHeight="1">
      <c r="C81" s="565"/>
      <c r="D81" s="566"/>
      <c r="E81" s="566"/>
      <c r="F81" s="566"/>
      <c r="G81" s="567"/>
    </row>
    <row r="82" spans="3:7" ht="12" customHeight="1">
      <c r="C82" s="565"/>
      <c r="D82" s="566"/>
      <c r="E82" s="566"/>
      <c r="F82" s="566"/>
      <c r="G82" s="567"/>
    </row>
    <row r="83" spans="3:7" ht="12" customHeight="1">
      <c r="C83" s="565"/>
      <c r="D83" s="566"/>
      <c r="E83" s="566"/>
      <c r="F83" s="566"/>
      <c r="G83" s="567"/>
    </row>
    <row r="84" spans="3:7" ht="12" customHeight="1">
      <c r="C84" s="565"/>
      <c r="D84" s="566"/>
      <c r="E84" s="566"/>
      <c r="F84" s="566"/>
      <c r="G84" s="567"/>
    </row>
    <row r="85" spans="3:7" ht="12" customHeight="1">
      <c r="C85" s="565"/>
      <c r="D85" s="566"/>
      <c r="E85" s="566"/>
      <c r="F85" s="566"/>
      <c r="G85" s="567"/>
    </row>
    <row r="86" spans="3:7" ht="12" customHeight="1">
      <c r="C86" s="565"/>
      <c r="D86" s="566"/>
      <c r="E86" s="566"/>
      <c r="F86" s="566"/>
      <c r="G86" s="567"/>
    </row>
    <row r="87" spans="3:7" ht="12" customHeight="1">
      <c r="C87" s="565"/>
      <c r="D87" s="566"/>
      <c r="E87" s="566"/>
      <c r="F87" s="566"/>
      <c r="G87" s="567"/>
    </row>
    <row r="88" spans="3:7" ht="12" customHeight="1">
      <c r="C88" s="565"/>
      <c r="D88" s="566"/>
      <c r="E88" s="566"/>
      <c r="F88" s="566"/>
      <c r="G88" s="567"/>
    </row>
    <row r="89" spans="3:7" ht="12" customHeight="1">
      <c r="C89" s="565"/>
      <c r="D89" s="566"/>
      <c r="E89" s="566"/>
      <c r="F89" s="566"/>
      <c r="G89" s="567"/>
    </row>
    <row r="90" spans="3:7" ht="12" customHeight="1">
      <c r="C90" s="568"/>
      <c r="D90" s="569"/>
      <c r="E90" s="569"/>
      <c r="F90" s="569"/>
      <c r="G90" s="570"/>
    </row>
    <row r="91" spans="3:7" ht="12" customHeight="1">
      <c r="C91" s="571"/>
      <c r="D91" s="572"/>
      <c r="E91" s="572"/>
      <c r="F91" s="572"/>
      <c r="G91" s="573"/>
    </row>
  </sheetData>
  <sheetProtection algorithmName="SHA-512" hashValue="vA15pmmY8ZomL4iyIHpevYAZAoQ0W2U87gSHrg4G41g+gXeUtYhSDi64GGjNaln4S4MzQizHZ+c8uIt8f2DU/A==" saltValue="LEP+z8IONb5E/Cw5Sww+XA==" spinCount="100000" sheet="1" objects="1" scenarios="1"/>
  <mergeCells count="48">
    <mergeCell ref="E53:F53"/>
    <mergeCell ref="C45:D45"/>
    <mergeCell ref="E48:F48"/>
    <mergeCell ref="E49:F49"/>
    <mergeCell ref="E50:F50"/>
    <mergeCell ref="E51:F51"/>
    <mergeCell ref="E52:F52"/>
    <mergeCell ref="C13:F13"/>
    <mergeCell ref="E33:F33"/>
    <mergeCell ref="E34:F34"/>
    <mergeCell ref="E35:F35"/>
    <mergeCell ref="E36:F36"/>
    <mergeCell ref="C86:G86"/>
    <mergeCell ref="C63:D63"/>
    <mergeCell ref="C64:D64"/>
    <mergeCell ref="C65:D65"/>
    <mergeCell ref="C66:D66"/>
    <mergeCell ref="C67:D67"/>
    <mergeCell ref="C80:G80"/>
    <mergeCell ref="C81:G81"/>
    <mergeCell ref="C82:G82"/>
    <mergeCell ref="C83:G83"/>
    <mergeCell ref="C84:G84"/>
    <mergeCell ref="C85:G85"/>
    <mergeCell ref="E65:F65"/>
    <mergeCell ref="E66:F66"/>
    <mergeCell ref="E67:F67"/>
    <mergeCell ref="C87:G87"/>
    <mergeCell ref="C88:G88"/>
    <mergeCell ref="C89:G89"/>
    <mergeCell ref="C90:G90"/>
    <mergeCell ref="C91:G91"/>
    <mergeCell ref="E62:F62"/>
    <mergeCell ref="E63:F63"/>
    <mergeCell ref="C32:D32"/>
    <mergeCell ref="E64:F64"/>
    <mergeCell ref="E37:F37"/>
    <mergeCell ref="E38:F38"/>
    <mergeCell ref="E39:F39"/>
    <mergeCell ref="E40:F40"/>
    <mergeCell ref="E60:F60"/>
    <mergeCell ref="C62:D62"/>
    <mergeCell ref="C60:D60"/>
    <mergeCell ref="C61:D61"/>
    <mergeCell ref="E61:F61"/>
    <mergeCell ref="C59:D59"/>
    <mergeCell ref="E46:F46"/>
    <mergeCell ref="E47:F47"/>
  </mergeCells>
  <phoneticPr fontId="0" type="noConversion"/>
  <conditionalFormatting sqref="C13">
    <cfRule type="cellIs" dxfId="24" priority="4" stopIfTrue="1" operator="equal">
      <formula>"Selecteer eerst hierboven de juiste loonkosten systematiek."</formula>
    </cfRule>
  </conditionalFormatting>
  <conditionalFormatting sqref="C59">
    <cfRule type="cellIs" dxfId="23" priority="5" stopIfTrue="1" operator="equal">
      <formula>"Kies eerst uw systematiek voor de berekening van de subsidiabele kosten"</formula>
    </cfRule>
  </conditionalFormatting>
  <conditionalFormatting sqref="E32">
    <cfRule type="cellIs" dxfId="22" priority="1" stopIfTrue="1" operator="equal">
      <formula>"Kies eerst uw systematiek voor de berekening van de subsidiabele kosten"</formula>
    </cfRule>
  </conditionalFormatting>
  <conditionalFormatting sqref="F27">
    <cfRule type="cellIs" dxfId="21" priority="3" stopIfTrue="1" operator="equal">
      <formula>"Opslag algemene kosten (50%)"</formula>
    </cfRule>
  </conditionalFormatting>
  <conditionalFormatting sqref="G77">
    <cfRule type="cellIs" dxfId="20" priority="2" operator="greaterThan">
      <formula>$G$74</formula>
    </cfRule>
  </conditionalFormatting>
  <dataValidations count="7">
    <dataValidation type="date" operator="greaterThan" allowBlank="1" showInputMessage="1" showErrorMessage="1" error="Voer een geldige datum in die na de startdatum ligt." sqref="D5" xr:uid="{D5A23BBE-B229-4502-9748-9587222C3806}">
      <formula1>D4</formula1>
    </dataValidation>
    <dataValidation type="list" allowBlank="1" showErrorMessage="1" errorTitle="Onjuiste invoer" error="Maak een keuze tussen de integrale kostensystematiek, de loonkosten plus vaste opslag-systematiek of de vaste uurtarief-systematiek." sqref="D11" xr:uid="{044B3197-58E1-4A44-A056-1E53EE40C5BA}">
      <formula1>Kostensystematiek</formula1>
    </dataValidation>
    <dataValidation type="list" allowBlank="1" showInputMessage="1" showErrorMessage="1" sqref="D7" xr:uid="{DB55E40E-BA59-4D5A-B80B-DF36EF838CAC}">
      <formula1>Organisatiesoort</formula1>
    </dataValidation>
    <dataValidation allowBlank="1" showErrorMessage="1" sqref="E33:F40 E60:F63 C66:D67 E46:F53" xr:uid="{42A7ADE6-CA82-4418-9CB1-80A604787E23}"/>
    <dataValidation type="whole" allowBlank="1" showInputMessage="1" sqref="G74" xr:uid="{0C84F8EC-C552-4C54-A9AB-94A698EC78C4}">
      <formula1>0</formula1>
      <formula2>4000000</formula2>
    </dataValidation>
    <dataValidation type="whole" allowBlank="1" showInputMessage="1" showErrorMessage="1" sqref="D9" xr:uid="{1FA76960-469C-C942-8D79-263114721323}">
      <formula1>1</formula1>
      <formula2>50</formula2>
    </dataValidation>
    <dataValidation allowBlank="1" showInputMessage="1" showErrorMessage="1" sqref="B16:B24 B60:B67 B33:B40 B46:B53" xr:uid="{DB04234E-0C4F-47E5-9312-D8A1C6717CB4}"/>
  </dataValidations>
  <printOptions horizontalCentered="1"/>
  <pageMargins left="0.19685039370078741" right="0.19685039370078741" top="0.55118110236220474" bottom="0.39370078740157483" header="0" footer="0"/>
  <pageSetup paperSize="9" scale="81" orientation="portrait"/>
  <headerFooter alignWithMargins="0">
    <oddHeader>&amp;L&amp;F</oddHeader>
  </headerFooter>
  <extLst>
    <ext xmlns:x14="http://schemas.microsoft.com/office/spreadsheetml/2009/9/main" uri="{CCE6A557-97BC-4b89-ADB6-D9C93CAAB3DF}">
      <x14:dataValidations xmlns:xm="http://schemas.microsoft.com/office/excel/2006/main" count="6">
        <x14:dataValidation type="list" allowBlank="1" showInputMessage="1" showErrorMessage="1" xr:uid="{BDC76D1C-42C4-4EB3-828C-DD00A2F51EE5}">
          <x14:formula1>
            <xm:f>Lijsten!$A$16</xm:f>
          </x14:formula1>
          <xm:sqref>D8</xm:sqref>
        </x14:dataValidation>
        <x14:dataValidation type="list" allowBlank="1" showInputMessage="1" showErrorMessage="1" xr:uid="{967A3C61-89FD-4591-B4C1-319A7ED1970B}">
          <x14:formula1>
            <xm:f>Lijsten!$A$19:$A$21</xm:f>
          </x14:formula1>
          <xm:sqref>A33:A40 A16:A24 A60:A67 H2 A46:A53</xm:sqref>
        </x14:dataValidation>
        <x14:dataValidation type="list" allowBlank="1" showInputMessage="1" showErrorMessage="1" xr:uid="{6D827EA5-987A-4DA5-8D67-5DD29666AB37}">
          <x14:formula1>
            <xm:f>Lijsten!$F$14:$F$18</xm:f>
          </x14:formula1>
          <xm:sqref>D16:D24 C33:C40 C60:C65 C46:C53</xm:sqref>
        </x14:dataValidation>
        <x14:dataValidation type="list" allowBlank="1" showInputMessage="1" showErrorMessage="1" xr:uid="{95FEB671-0046-48BD-8B1F-CFC9C112DAA8}">
          <x14:formula1>
            <xm:f>Lijsten!$A$24:$A$26</xm:f>
          </x14:formula1>
          <xm:sqref>D6</xm:sqref>
        </x14:dataValidation>
        <x14:dataValidation type="list" allowBlank="1" showInputMessage="1" showErrorMessage="1" xr:uid="{AC5D149B-FCEA-2647-B21D-8F6BC89EEE9C}">
          <x14:formula1>
            <xm:f>Lijsten!A19:A21</xm:f>
          </x14:formula1>
          <xm:sqref>D10</xm:sqref>
        </x14:dataValidation>
        <x14:dataValidation type="date" operator="greaterThanOrEqual" allowBlank="1" showInputMessage="1" showErrorMessage="1" error="Voer een geldige datum in die na de openstellingdatum van de regeling ligt." xr:uid="{042193F3-0612-433E-89FC-1C5974A79CE3}">
          <x14:formula1>
            <xm:f>Lijsten!B2</xm:f>
          </x14:formula1>
          <xm:sqref>D4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4289A-F4B8-4340-A644-10645B1AFD86}">
  <sheetPr transitionEvaluation="1">
    <tabColor rgb="FFFFFF00"/>
    <pageSetUpPr fitToPage="1"/>
  </sheetPr>
  <dimension ref="A1:G76"/>
  <sheetViews>
    <sheetView showGridLines="0" zoomScaleNormal="100" workbookViewId="0"/>
  </sheetViews>
  <sheetFormatPr defaultColWidth="10.875" defaultRowHeight="15.6" customHeight="1"/>
  <cols>
    <col min="1" max="1" width="3.625" customWidth="1"/>
    <col min="2" max="2" width="28.625" customWidth="1"/>
    <col min="3" max="3" width="41.125" customWidth="1"/>
    <col min="4" max="4" width="21.625" customWidth="1"/>
    <col min="5" max="5" width="23.375" customWidth="1"/>
    <col min="6" max="6" width="11" style="170" customWidth="1"/>
    <col min="7" max="10" width="10.875" customWidth="1"/>
  </cols>
  <sheetData>
    <row r="1" spans="1:7" ht="15.6" customHeight="1" thickBot="1">
      <c r="A1" s="47"/>
      <c r="B1" s="5"/>
      <c r="C1" s="5"/>
      <c r="D1" s="5"/>
      <c r="E1" s="33"/>
      <c r="F1" s="154"/>
    </row>
    <row r="2" spans="1:7" ht="12">
      <c r="A2" s="1"/>
      <c r="B2" s="69" t="s">
        <v>208</v>
      </c>
      <c r="C2" s="80"/>
      <c r="D2" s="2"/>
      <c r="E2" s="3"/>
      <c r="F2" s="155"/>
    </row>
    <row r="3" spans="1:7" ht="12">
      <c r="A3" s="6"/>
      <c r="B3" s="70" t="s">
        <v>210</v>
      </c>
      <c r="C3" s="74" t="str">
        <f>IF(projecttitel="","Vul dit in op tabblad 'Aanvrager 1'",projecttitel)</f>
        <v>Project X</v>
      </c>
      <c r="D3" s="7"/>
      <c r="E3" s="8"/>
      <c r="F3" s="155"/>
    </row>
    <row r="4" spans="1:7" ht="12">
      <c r="A4" s="6"/>
      <c r="B4" s="70" t="s">
        <v>212</v>
      </c>
      <c r="C4" s="74">
        <f>IF(project_startdatum=0,"Vul dit in op tabblad 'Aanvrager 1'",project_startdatum)</f>
        <v>45778</v>
      </c>
      <c r="D4" s="7"/>
      <c r="E4" s="8"/>
      <c r="F4" s="155"/>
    </row>
    <row r="5" spans="1:7" ht="12">
      <c r="A5" s="6"/>
      <c r="B5" s="70" t="s">
        <v>213</v>
      </c>
      <c r="C5" s="74">
        <f>IF(project_einddatum=0,"Vul dit in op tabblad 'Aanvrager 1'",project_einddatum)</f>
        <v>46752</v>
      </c>
      <c r="D5" s="48"/>
      <c r="E5" s="8"/>
      <c r="F5" s="155"/>
    </row>
    <row r="6" spans="1:7" ht="12">
      <c r="A6" s="6"/>
      <c r="B6" s="60"/>
      <c r="C6" s="37"/>
      <c r="D6" s="7"/>
      <c r="E6" s="8"/>
      <c r="F6" s="155"/>
    </row>
    <row r="7" spans="1:7" ht="12">
      <c r="A7" s="6"/>
      <c r="B7" s="65" t="s">
        <v>17</v>
      </c>
      <c r="C7" s="76" t="s">
        <v>233</v>
      </c>
      <c r="D7" s="23"/>
      <c r="E7" s="7"/>
      <c r="F7" s="155"/>
    </row>
    <row r="8" spans="1:7" ht="12">
      <c r="A8" s="6"/>
      <c r="B8" s="60"/>
      <c r="C8" s="78"/>
      <c r="D8" s="23"/>
      <c r="E8" s="7"/>
      <c r="F8" s="156"/>
    </row>
    <row r="9" spans="1:7" ht="12.75" thickBot="1">
      <c r="A9" s="6"/>
      <c r="B9" s="66" t="s">
        <v>218</v>
      </c>
      <c r="C9" s="77" t="s">
        <v>233</v>
      </c>
      <c r="D9" s="23"/>
      <c r="E9" s="7"/>
      <c r="F9" s="171"/>
      <c r="G9" s="75"/>
    </row>
    <row r="10" spans="1:7" ht="12.75" thickBot="1">
      <c r="A10" s="6"/>
      <c r="B10" s="9"/>
      <c r="C10" s="8"/>
      <c r="D10" s="7"/>
      <c r="E10" s="8"/>
      <c r="F10" s="155"/>
    </row>
    <row r="11" spans="1:7" ht="12">
      <c r="A11" s="6" t="s">
        <v>220</v>
      </c>
      <c r="B11" s="574" t="str">
        <f>IF(C9="[Maak een keuze]","Selecteer eerst hierboven uw systematiek voor de berekening van de subsidiabele kosten.",(IF(C9="Directe loonkosten plus vaste opslag-systematiek (50%)","Directe loonkosten",(IF(C9="integrale kostensystematiek","Directe en indirecte kosten op basis van integraal tarief","Directe en indirecte kosten op basis van vast tarief")))))</f>
        <v>Selecteer eerst hierboven uw systematiek voor de berekening van de subsidiabele kosten.</v>
      </c>
      <c r="C11" s="576"/>
      <c r="D11" s="576"/>
      <c r="E11" s="576"/>
      <c r="F11" s="157"/>
    </row>
    <row r="12" spans="1:7" ht="12">
      <c r="A12" s="6"/>
      <c r="B12" s="57"/>
      <c r="C12" s="2"/>
      <c r="D12" s="2"/>
      <c r="E12" s="10"/>
      <c r="F12" s="158"/>
    </row>
    <row r="13" spans="1:7" ht="12">
      <c r="A13" s="6"/>
      <c r="B13" s="58" t="s">
        <v>221</v>
      </c>
      <c r="C13" s="11" t="s">
        <v>294</v>
      </c>
      <c r="D13" s="4" t="s">
        <v>295</v>
      </c>
      <c r="E13" s="11" t="s">
        <v>296</v>
      </c>
      <c r="F13" s="158" t="s">
        <v>226</v>
      </c>
    </row>
    <row r="14" spans="1:7" ht="12">
      <c r="A14" s="1"/>
      <c r="B14" s="59"/>
      <c r="C14" s="53"/>
      <c r="D14" s="24"/>
      <c r="E14" s="12"/>
      <c r="F14" s="159">
        <f t="shared" ref="F14:F22" si="0">$D14*E14</f>
        <v>0</v>
      </c>
    </row>
    <row r="15" spans="1:7" ht="12">
      <c r="A15" s="1"/>
      <c r="B15" s="59"/>
      <c r="C15" s="53"/>
      <c r="D15" s="24"/>
      <c r="E15" s="12"/>
      <c r="F15" s="159">
        <f t="shared" si="0"/>
        <v>0</v>
      </c>
    </row>
    <row r="16" spans="1:7" ht="12">
      <c r="A16" s="1"/>
      <c r="B16" s="59"/>
      <c r="C16" s="53"/>
      <c r="D16" s="24"/>
      <c r="E16" s="12"/>
      <c r="F16" s="159">
        <f t="shared" si="0"/>
        <v>0</v>
      </c>
    </row>
    <row r="17" spans="1:6" ht="12">
      <c r="A17" s="1"/>
      <c r="B17" s="59"/>
      <c r="C17" s="53"/>
      <c r="D17" s="24"/>
      <c r="E17" s="12"/>
      <c r="F17" s="159">
        <f t="shared" si="0"/>
        <v>0</v>
      </c>
    </row>
    <row r="18" spans="1:6" ht="12">
      <c r="A18" s="1"/>
      <c r="B18" s="59"/>
      <c r="C18" s="53"/>
      <c r="D18" s="24"/>
      <c r="E18" s="12"/>
      <c r="F18" s="159">
        <f t="shared" si="0"/>
        <v>0</v>
      </c>
    </row>
    <row r="19" spans="1:6" ht="12">
      <c r="A19" s="1"/>
      <c r="B19" s="59"/>
      <c r="C19" s="53"/>
      <c r="D19" s="24"/>
      <c r="E19" s="12"/>
      <c r="F19" s="159">
        <f t="shared" si="0"/>
        <v>0</v>
      </c>
    </row>
    <row r="20" spans="1:6" ht="12">
      <c r="A20" s="1"/>
      <c r="B20" s="59"/>
      <c r="C20" s="53"/>
      <c r="D20" s="24"/>
      <c r="E20" s="12"/>
      <c r="F20" s="159">
        <f t="shared" si="0"/>
        <v>0</v>
      </c>
    </row>
    <row r="21" spans="1:6" ht="12">
      <c r="A21" s="1"/>
      <c r="B21" s="59"/>
      <c r="C21" s="53"/>
      <c r="D21" s="24"/>
      <c r="E21" s="12"/>
      <c r="F21" s="159">
        <f t="shared" si="0"/>
        <v>0</v>
      </c>
    </row>
    <row r="22" spans="1:6" ht="12">
      <c r="A22" s="1"/>
      <c r="B22" s="59"/>
      <c r="C22" s="53"/>
      <c r="D22" s="24"/>
      <c r="E22" s="12"/>
      <c r="F22" s="159">
        <f t="shared" si="0"/>
        <v>0</v>
      </c>
    </row>
    <row r="23" spans="1:6" ht="12">
      <c r="A23" s="6"/>
      <c r="B23" s="57"/>
      <c r="C23" s="2"/>
      <c r="D23" s="25"/>
      <c r="E23" s="26" t="s">
        <v>297</v>
      </c>
      <c r="F23" s="160">
        <f>SUM(F14:F22)</f>
        <v>0</v>
      </c>
    </row>
    <row r="24" spans="1:6" ht="12">
      <c r="A24" s="6"/>
      <c r="B24" s="60"/>
      <c r="C24" s="9"/>
      <c r="D24" s="27"/>
      <c r="E24" s="27"/>
      <c r="F24" s="161"/>
    </row>
    <row r="25" spans="1:6" ht="12.75" thickBot="1">
      <c r="A25" s="6"/>
      <c r="B25" s="60"/>
      <c r="C25" s="9"/>
      <c r="D25" s="2"/>
      <c r="E25" s="28" t="str">
        <f>IF(C9="Directe loonkosten plus vaste opslag-systematiek (50%)","Opslag algemene kosten (50%)","Geen opslag")</f>
        <v>Geen opslag</v>
      </c>
      <c r="F25" s="162">
        <f>IF($C9=Lijsten!$D$6,0,(IF($C9=Lijsten!$D$8,0,(IF($C9=Lijsten!$D$7,F23*0.5,"0")))))</f>
        <v>0</v>
      </c>
    </row>
    <row r="26" spans="1:6" ht="12.75" thickBot="1">
      <c r="A26" s="6"/>
      <c r="B26" s="61"/>
      <c r="C26" s="21"/>
      <c r="D26" s="29"/>
      <c r="E26" s="22" t="s">
        <v>237</v>
      </c>
      <c r="F26" s="163">
        <f>SUM(F14:F22,F25)</f>
        <v>0</v>
      </c>
    </row>
    <row r="27" spans="1:6" ht="12.75" thickBot="1">
      <c r="A27" s="2"/>
      <c r="B27" s="2"/>
      <c r="C27" s="2"/>
      <c r="D27" s="2"/>
      <c r="E27" s="2"/>
      <c r="F27" s="164"/>
    </row>
    <row r="28" spans="1:6" ht="12">
      <c r="A28" s="6" t="s">
        <v>238</v>
      </c>
      <c r="B28" s="62" t="s">
        <v>239</v>
      </c>
      <c r="C28" s="20"/>
      <c r="D28" s="20"/>
      <c r="E28" s="20"/>
      <c r="F28" s="157"/>
    </row>
    <row r="29" spans="1:6" ht="12">
      <c r="A29" s="6"/>
      <c r="B29" s="57"/>
      <c r="C29" s="2"/>
      <c r="D29" s="2"/>
      <c r="E29" s="10"/>
      <c r="F29" s="158"/>
    </row>
    <row r="30" spans="1:6" ht="12">
      <c r="A30" s="6"/>
      <c r="B30" s="58" t="s">
        <v>240</v>
      </c>
      <c r="C30" s="11"/>
      <c r="D30" s="11"/>
      <c r="F30" s="158" t="s">
        <v>241</v>
      </c>
    </row>
    <row r="31" spans="1:6" ht="12">
      <c r="A31" s="1"/>
      <c r="B31" s="586"/>
      <c r="C31" s="580"/>
      <c r="D31" s="30"/>
      <c r="E31" s="30"/>
      <c r="F31" s="165"/>
    </row>
    <row r="32" spans="1:6" ht="12">
      <c r="A32" s="1"/>
      <c r="B32" s="585"/>
      <c r="C32" s="578"/>
      <c r="D32" s="31"/>
      <c r="E32" s="31"/>
      <c r="F32" s="165">
        <v>0</v>
      </c>
    </row>
    <row r="33" spans="1:6" ht="12">
      <c r="A33" s="1"/>
      <c r="B33" s="585"/>
      <c r="C33" s="580"/>
      <c r="D33" s="31"/>
      <c r="E33" s="31"/>
      <c r="F33" s="165">
        <v>0</v>
      </c>
    </row>
    <row r="34" spans="1:6" ht="12">
      <c r="A34" s="1"/>
      <c r="B34" s="585"/>
      <c r="C34" s="580"/>
      <c r="D34" s="31"/>
      <c r="E34" s="31"/>
      <c r="F34" s="165">
        <v>0</v>
      </c>
    </row>
    <row r="35" spans="1:6" ht="12">
      <c r="A35" s="1"/>
      <c r="B35" s="585"/>
      <c r="C35" s="580"/>
      <c r="D35" s="31"/>
      <c r="E35" s="31"/>
      <c r="F35" s="165">
        <v>0</v>
      </c>
    </row>
    <row r="36" spans="1:6" ht="12">
      <c r="A36" s="1"/>
      <c r="B36" s="585"/>
      <c r="C36" s="580"/>
      <c r="D36" s="31"/>
      <c r="E36" s="31"/>
      <c r="F36" s="165">
        <v>0</v>
      </c>
    </row>
    <row r="37" spans="1:6" ht="12">
      <c r="A37" s="1"/>
      <c r="B37" s="585"/>
      <c r="C37" s="580"/>
      <c r="D37" s="31"/>
      <c r="E37" s="31"/>
      <c r="F37" s="165">
        <v>0</v>
      </c>
    </row>
    <row r="38" spans="1:6" ht="12">
      <c r="A38" s="1"/>
      <c r="B38" s="585"/>
      <c r="C38" s="580"/>
      <c r="D38" s="32"/>
      <c r="E38" s="32"/>
      <c r="F38" s="165">
        <v>0</v>
      </c>
    </row>
    <row r="39" spans="1:6" ht="12.75" thickBot="1">
      <c r="A39" s="1"/>
      <c r="B39" s="57"/>
      <c r="C39" s="2"/>
      <c r="D39" s="2"/>
      <c r="E39" s="13"/>
      <c r="F39" s="158"/>
    </row>
    <row r="40" spans="1:6" ht="12.75" thickBot="1">
      <c r="A40" s="6"/>
      <c r="B40" s="61"/>
      <c r="C40" s="21"/>
      <c r="D40" s="22"/>
      <c r="E40" s="22" t="s">
        <v>237</v>
      </c>
      <c r="F40" s="163">
        <f>SUM(F31:F38)</f>
        <v>0</v>
      </c>
    </row>
    <row r="41" spans="1:6" ht="12.75" thickBot="1">
      <c r="A41" s="2"/>
      <c r="B41" s="2"/>
      <c r="C41" s="2"/>
      <c r="D41" s="2"/>
      <c r="E41" s="2"/>
      <c r="F41" s="164"/>
    </row>
    <row r="42" spans="1:6" ht="12">
      <c r="A42" s="6">
        <v>3</v>
      </c>
      <c r="B42" s="62" t="s">
        <v>244</v>
      </c>
      <c r="C42" s="20"/>
      <c r="D42" s="20"/>
      <c r="E42" s="20"/>
      <c r="F42" s="157"/>
    </row>
    <row r="43" spans="1:6" ht="12">
      <c r="A43" s="6"/>
      <c r="B43" s="57"/>
      <c r="C43" s="2"/>
      <c r="D43" s="2"/>
      <c r="E43" s="10"/>
      <c r="F43" s="158"/>
    </row>
    <row r="44" spans="1:6" ht="12">
      <c r="A44" s="6"/>
      <c r="B44" s="58" t="s">
        <v>240</v>
      </c>
      <c r="C44" s="11"/>
      <c r="D44" s="11"/>
      <c r="F44" s="158" t="s">
        <v>241</v>
      </c>
    </row>
    <row r="45" spans="1:6" ht="12">
      <c r="A45" s="1"/>
      <c r="B45" s="586"/>
      <c r="C45" s="580"/>
      <c r="D45" s="30"/>
      <c r="E45" s="30"/>
      <c r="F45" s="165">
        <v>0</v>
      </c>
    </row>
    <row r="46" spans="1:6" ht="12">
      <c r="A46" s="1"/>
      <c r="B46" s="585"/>
      <c r="C46" s="578"/>
      <c r="D46" s="31"/>
      <c r="E46" s="31"/>
      <c r="F46" s="165">
        <v>0</v>
      </c>
    </row>
    <row r="47" spans="1:6" ht="12">
      <c r="A47" s="1"/>
      <c r="B47" s="585"/>
      <c r="C47" s="580"/>
      <c r="D47" s="31"/>
      <c r="E47" s="31"/>
      <c r="F47" s="165">
        <v>0</v>
      </c>
    </row>
    <row r="48" spans="1:6" ht="12">
      <c r="A48" s="1"/>
      <c r="B48" s="585"/>
      <c r="C48" s="580"/>
      <c r="D48" s="31"/>
      <c r="E48" s="31"/>
      <c r="F48" s="165">
        <v>0</v>
      </c>
    </row>
    <row r="49" spans="1:7" ht="12">
      <c r="A49" s="1"/>
      <c r="B49" s="585"/>
      <c r="C49" s="580"/>
      <c r="D49" s="31"/>
      <c r="E49" s="31"/>
      <c r="F49" s="165">
        <v>0</v>
      </c>
    </row>
    <row r="50" spans="1:7" ht="12">
      <c r="A50" s="1"/>
      <c r="B50" s="585"/>
      <c r="C50" s="580"/>
      <c r="D50" s="31"/>
      <c r="E50" s="31"/>
      <c r="F50" s="165">
        <v>0</v>
      </c>
    </row>
    <row r="51" spans="1:7" ht="12">
      <c r="A51" s="1"/>
      <c r="B51" s="585"/>
      <c r="C51" s="580"/>
      <c r="D51" s="31"/>
      <c r="E51" s="31"/>
      <c r="F51" s="165">
        <v>0</v>
      </c>
    </row>
    <row r="52" spans="1:7" ht="12">
      <c r="A52" s="1"/>
      <c r="B52" s="585"/>
      <c r="C52" s="580"/>
      <c r="D52" s="32"/>
      <c r="E52" s="32"/>
      <c r="F52" s="165">
        <v>0</v>
      </c>
    </row>
    <row r="53" spans="1:7" ht="12.75" thickBot="1">
      <c r="A53" s="1"/>
      <c r="B53" s="57"/>
      <c r="C53" s="2"/>
      <c r="D53" s="2"/>
      <c r="E53" s="13"/>
      <c r="F53" s="158"/>
    </row>
    <row r="54" spans="1:7" ht="12.75" thickBot="1">
      <c r="A54" s="6"/>
      <c r="B54" s="61"/>
      <c r="C54" s="21"/>
      <c r="D54" s="21"/>
      <c r="E54" s="22" t="s">
        <v>237</v>
      </c>
      <c r="F54" s="163">
        <f>SUM(F45:F52)</f>
        <v>0</v>
      </c>
    </row>
    <row r="55" spans="1:7" ht="12.75" thickBot="1">
      <c r="A55" s="2"/>
      <c r="B55" s="2"/>
      <c r="C55" s="2"/>
      <c r="D55" s="2"/>
      <c r="E55" s="34"/>
      <c r="F55" s="164"/>
    </row>
    <row r="56" spans="1:7" ht="13.5" thickBot="1">
      <c r="A56" s="6"/>
      <c r="B56" s="18" t="s">
        <v>248</v>
      </c>
      <c r="C56" s="18"/>
      <c r="D56" s="18"/>
      <c r="E56" s="19" t="s">
        <v>237</v>
      </c>
      <c r="F56" s="166">
        <f>IF(C9=Lijsten!A5,0,SUM(F26+F40+F54))</f>
        <v>0</v>
      </c>
      <c r="G56" s="138" t="str">
        <f>IF(AND(SUM(F26,F40,F54)&gt;0,F56=0)," &lt;-- Het totale bedrag wordt (nog) niet bepaald, omdat u boven aan dit blad nog geen loonkosten systematiek heeft gekozen","")</f>
        <v/>
      </c>
    </row>
    <row r="57" spans="1:7" ht="12.75" thickBot="1">
      <c r="A57" s="6"/>
      <c r="B57" s="9"/>
      <c r="C57" s="9"/>
      <c r="D57" s="9"/>
      <c r="E57" s="34"/>
      <c r="F57" s="164"/>
      <c r="G57" s="139"/>
    </row>
    <row r="58" spans="1:7" ht="12.75">
      <c r="A58" s="6"/>
      <c r="B58" s="63" t="s">
        <v>249</v>
      </c>
      <c r="C58" s="54"/>
      <c r="D58" s="54"/>
      <c r="E58" s="64"/>
      <c r="F58" s="233" t="e" vm="1">
        <f>VLOOKUP(C7,Lijsten!$A$5:$B$10,2,0)</f>
        <v>#VALUE!</v>
      </c>
      <c r="G58" s="138" t="e" vm="2">
        <f>IF(AND($F$56&gt;0,F58=0)," &lt;-- Let op: Bovenaan dit blad is nog geen organisatiesoort geselecteerd.","")</f>
        <v>#VALUE!</v>
      </c>
    </row>
    <row r="59" spans="1:7" ht="12.75">
      <c r="A59" s="6"/>
      <c r="B59" s="65" t="s">
        <v>250</v>
      </c>
      <c r="E59" s="55" t="e" vm="2">
        <f>IF(F58*F56&gt;50000,"Maximale subsidie is begrensd op 50.000 euro","")</f>
        <v>#VALUE!</v>
      </c>
      <c r="F59" s="175" t="e" vm="2">
        <f>IF(F58*F56&gt;50000,50000,F58*F56)</f>
        <v>#VALUE!</v>
      </c>
      <c r="G59" s="138"/>
    </row>
    <row r="60" spans="1:7" ht="12.75">
      <c r="A60" s="6"/>
      <c r="B60" s="65" t="s">
        <v>251</v>
      </c>
      <c r="D60" s="55"/>
      <c r="E60" s="34"/>
      <c r="F60" s="167">
        <v>0</v>
      </c>
      <c r="G60" s="138"/>
    </row>
    <row r="61" spans="1:7" ht="12.75">
      <c r="A61" s="6"/>
      <c r="B61" s="65" t="s">
        <v>252</v>
      </c>
      <c r="D61" s="55"/>
      <c r="E61" s="34"/>
      <c r="F61" s="175" t="e" vm="2">
        <f>F59-F60</f>
        <v>#VALUE!</v>
      </c>
      <c r="G61" s="138"/>
    </row>
    <row r="62" spans="1:7" ht="13.5" thickBot="1">
      <c r="A62" s="6"/>
      <c r="B62" s="66" t="s">
        <v>253</v>
      </c>
      <c r="C62" s="67"/>
      <c r="D62" s="56"/>
      <c r="E62" s="56"/>
      <c r="F62" s="168">
        <v>0</v>
      </c>
      <c r="G62" s="138" t="e" vm="2">
        <f>IF(AND(F59&lt;&gt;0,F62&lt;0.1)," &lt;-- Vul de gevraagde subsidie in.",IF(F62&gt;F61," &lt;-- De gevraagde subsidie is hoger dan de maximale subsidie.",""))</f>
        <v>#VALUE!</v>
      </c>
    </row>
    <row r="63" spans="1:7" ht="12.75" thickBot="1">
      <c r="A63" s="2"/>
      <c r="B63" s="2"/>
      <c r="C63" s="2"/>
      <c r="D63" s="2"/>
      <c r="E63" s="2"/>
      <c r="F63" s="164"/>
    </row>
    <row r="64" spans="1:7" ht="13.5" thickBot="1">
      <c r="A64" s="2"/>
      <c r="B64" s="35" t="s">
        <v>254</v>
      </c>
      <c r="C64" s="36"/>
      <c r="D64" s="36"/>
      <c r="E64" s="36"/>
      <c r="F64" s="169"/>
    </row>
    <row r="65" spans="2:6" ht="12" customHeight="1">
      <c r="B65" s="565"/>
      <c r="C65" s="566"/>
      <c r="D65" s="566"/>
      <c r="E65" s="566"/>
      <c r="F65" s="567"/>
    </row>
    <row r="66" spans="2:6" ht="12" customHeight="1">
      <c r="B66" s="565"/>
      <c r="C66" s="566"/>
      <c r="D66" s="566"/>
      <c r="E66" s="566"/>
      <c r="F66" s="567"/>
    </row>
    <row r="67" spans="2:6" ht="12" customHeight="1">
      <c r="B67" s="565"/>
      <c r="C67" s="566"/>
      <c r="D67" s="566"/>
      <c r="E67" s="566"/>
      <c r="F67" s="567"/>
    </row>
    <row r="68" spans="2:6" ht="12" customHeight="1">
      <c r="B68" s="565"/>
      <c r="C68" s="566"/>
      <c r="D68" s="566"/>
      <c r="E68" s="566"/>
      <c r="F68" s="567"/>
    </row>
    <row r="69" spans="2:6" ht="12" customHeight="1">
      <c r="B69" s="565"/>
      <c r="C69" s="566"/>
      <c r="D69" s="566"/>
      <c r="E69" s="566"/>
      <c r="F69" s="567"/>
    </row>
    <row r="70" spans="2:6" ht="12" customHeight="1">
      <c r="B70" s="565"/>
      <c r="C70" s="566"/>
      <c r="D70" s="566"/>
      <c r="E70" s="566"/>
      <c r="F70" s="567"/>
    </row>
    <row r="71" spans="2:6" ht="12" customHeight="1">
      <c r="B71" s="565"/>
      <c r="C71" s="566"/>
      <c r="D71" s="566"/>
      <c r="E71" s="566"/>
      <c r="F71" s="567"/>
    </row>
    <row r="72" spans="2:6" ht="12" customHeight="1">
      <c r="B72" s="565"/>
      <c r="C72" s="566"/>
      <c r="D72" s="566"/>
      <c r="E72" s="566"/>
      <c r="F72" s="567"/>
    </row>
    <row r="73" spans="2:6" ht="12" customHeight="1">
      <c r="B73" s="565"/>
      <c r="C73" s="566"/>
      <c r="D73" s="566"/>
      <c r="E73" s="566"/>
      <c r="F73" s="567"/>
    </row>
    <row r="74" spans="2:6" ht="12" customHeight="1">
      <c r="B74" s="565"/>
      <c r="C74" s="566"/>
      <c r="D74" s="566"/>
      <c r="E74" s="566"/>
      <c r="F74" s="567"/>
    </row>
    <row r="75" spans="2:6" ht="12" customHeight="1">
      <c r="B75" s="568"/>
      <c r="C75" s="569"/>
      <c r="D75" s="569"/>
      <c r="E75" s="569"/>
      <c r="F75" s="570"/>
    </row>
    <row r="76" spans="2:6" ht="12" customHeight="1" thickBot="1">
      <c r="B76" s="571"/>
      <c r="C76" s="572"/>
      <c r="D76" s="572"/>
      <c r="E76" s="572"/>
      <c r="F76" s="573"/>
    </row>
  </sheetData>
  <mergeCells count="29">
    <mergeCell ref="B74:F74"/>
    <mergeCell ref="B75:F75"/>
    <mergeCell ref="B76:F76"/>
    <mergeCell ref="B68:F68"/>
    <mergeCell ref="B69:F69"/>
    <mergeCell ref="B70:F70"/>
    <mergeCell ref="B71:F71"/>
    <mergeCell ref="B72:F72"/>
    <mergeCell ref="B73:F73"/>
    <mergeCell ref="B67:F67"/>
    <mergeCell ref="B38:C38"/>
    <mergeCell ref="B45:C45"/>
    <mergeCell ref="B46:C46"/>
    <mergeCell ref="B47:C47"/>
    <mergeCell ref="B48:C48"/>
    <mergeCell ref="B49:C49"/>
    <mergeCell ref="B50:C50"/>
    <mergeCell ref="B51:C51"/>
    <mergeCell ref="B52:C52"/>
    <mergeCell ref="B65:F65"/>
    <mergeCell ref="B66:F66"/>
    <mergeCell ref="B37:C37"/>
    <mergeCell ref="B11:E11"/>
    <mergeCell ref="B31:C31"/>
    <mergeCell ref="B32:C32"/>
    <mergeCell ref="B33:C33"/>
    <mergeCell ref="B34:C34"/>
    <mergeCell ref="B35:C35"/>
    <mergeCell ref="B36:C36"/>
  </mergeCells>
  <conditionalFormatting sqref="B11">
    <cfRule type="cellIs" dxfId="19" priority="3" stopIfTrue="1" operator="equal">
      <formula>"Selecteer eerst hierboven uw systematiek voor de berekening van de subsidiabele kosten."</formula>
    </cfRule>
  </conditionalFormatting>
  <conditionalFormatting sqref="B30">
    <cfRule type="cellIs" dxfId="18" priority="5" stopIfTrue="1" operator="equal">
      <formula>"Kies eerst uw systematiek voor de berekening van de subsidiabele kosten"</formula>
    </cfRule>
  </conditionalFormatting>
  <conditionalFormatting sqref="B44">
    <cfRule type="cellIs" dxfId="17" priority="4" stopIfTrue="1" operator="equal">
      <formula>"Kies eerst uw systematiek voor de berekening van de subsidiabele kosten"</formula>
    </cfRule>
  </conditionalFormatting>
  <conditionalFormatting sqref="E25">
    <cfRule type="cellIs" dxfId="16" priority="2" stopIfTrue="1" operator="equal">
      <formula>"Opslag algemene kosten (50%)"</formula>
    </cfRule>
  </conditionalFormatting>
  <conditionalFormatting sqref="F62">
    <cfRule type="cellIs" dxfId="15" priority="1" operator="greaterThan">
      <formula>$F$59</formula>
    </cfRule>
  </conditionalFormatting>
  <dataValidations count="3">
    <dataValidation type="list" allowBlank="1" showErrorMessage="1" errorTitle="Onjuiste invoer" error="Maak een keuze tussen de integrale kostensystematiek, de loonkosten plus vaste opslag-systematiek of de vaste uurtarief-systematiek." sqref="C9" xr:uid="{D9C64113-4570-4DD1-BA55-99CF46E6FE41}">
      <formula1>Kostensystematiek</formula1>
    </dataValidation>
    <dataValidation type="list" allowBlank="1" showInputMessage="1" showErrorMessage="1" sqref="C7" xr:uid="{6D2E5F70-0938-4A0D-9AAB-CCF85E68548C}">
      <formula1>Organisatiesoort</formula1>
    </dataValidation>
    <dataValidation allowBlank="1" showErrorMessage="1" sqref="B31:C38 B45:C52" xr:uid="{41439BDF-E72E-4209-8D39-6DCD9BE8C38C}"/>
  </dataValidations>
  <printOptions horizontalCentered="1"/>
  <pageMargins left="0.19685039370078741" right="0.19685039370078741" top="0.55118110236220474" bottom="0.39370078740157483" header="0" footer="0"/>
  <pageSetup paperSize="9" scale="81" orientation="portrait" r:id="rId1"/>
  <headerFooter alignWithMargins="0">
    <oddHeader>&amp;L&amp;F</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465D3-820B-4E91-ACC1-FBF0A7514831}">
  <sheetPr transitionEvaluation="1">
    <tabColor rgb="FFFFFF00"/>
    <pageSetUpPr fitToPage="1"/>
  </sheetPr>
  <dimension ref="A1:G76"/>
  <sheetViews>
    <sheetView showGridLines="0" zoomScaleNormal="100" workbookViewId="0"/>
  </sheetViews>
  <sheetFormatPr defaultColWidth="10.875" defaultRowHeight="15.6" customHeight="1"/>
  <cols>
    <col min="1" max="1" width="3.625" customWidth="1"/>
    <col min="2" max="2" width="28.625" customWidth="1"/>
    <col min="3" max="3" width="41.125" customWidth="1"/>
    <col min="4" max="4" width="21.625" customWidth="1"/>
    <col min="5" max="5" width="23.375" customWidth="1"/>
    <col min="6" max="6" width="11" style="170" customWidth="1"/>
    <col min="7" max="10" width="10.875" customWidth="1"/>
  </cols>
  <sheetData>
    <row r="1" spans="1:7" ht="15.6" customHeight="1" thickBot="1">
      <c r="A1" s="47"/>
      <c r="B1" s="5"/>
      <c r="C1" s="5"/>
      <c r="D1" s="5"/>
      <c r="E1" s="33"/>
      <c r="F1" s="154"/>
    </row>
    <row r="2" spans="1:7" ht="12">
      <c r="A2" s="1"/>
      <c r="B2" s="69" t="s">
        <v>208</v>
      </c>
      <c r="C2" s="71"/>
      <c r="D2" s="2"/>
      <c r="E2" s="3"/>
      <c r="F2" s="155"/>
    </row>
    <row r="3" spans="1:7" ht="12">
      <c r="A3" s="6"/>
      <c r="B3" s="70" t="s">
        <v>210</v>
      </c>
      <c r="C3" s="74" t="str">
        <f>IF(projecttitel="","Vul dit in op tabblad 'Aanvrager 1'",projecttitel)</f>
        <v>Project X</v>
      </c>
      <c r="D3" s="7"/>
      <c r="E3" s="8"/>
      <c r="F3" s="155"/>
    </row>
    <row r="4" spans="1:7" ht="12">
      <c r="A4" s="6"/>
      <c r="B4" s="70" t="s">
        <v>212</v>
      </c>
      <c r="C4" s="74">
        <f>IF(project_startdatum=0,"Vul dit in op tabblad 'Aanvrager 1'",project_startdatum)</f>
        <v>45778</v>
      </c>
      <c r="D4" s="7"/>
      <c r="E4" s="8"/>
      <c r="F4" s="155"/>
    </row>
    <row r="5" spans="1:7" ht="12">
      <c r="A5" s="6"/>
      <c r="B5" s="70" t="s">
        <v>213</v>
      </c>
      <c r="C5" s="74">
        <f>IF(project_einddatum=0,"Vul dit in op tabblad 'Aanvrager 1'",project_einddatum)</f>
        <v>46752</v>
      </c>
      <c r="D5" s="48"/>
      <c r="E5" s="8"/>
      <c r="F5" s="155"/>
    </row>
    <row r="6" spans="1:7" ht="12">
      <c r="A6" s="6"/>
      <c r="B6" s="60"/>
      <c r="C6" s="37"/>
      <c r="D6" s="7"/>
      <c r="E6" s="8"/>
      <c r="F6" s="155"/>
    </row>
    <row r="7" spans="1:7" ht="12">
      <c r="A7" s="6"/>
      <c r="B7" s="65" t="s">
        <v>17</v>
      </c>
      <c r="C7" s="76" t="s">
        <v>233</v>
      </c>
      <c r="D7" s="23"/>
      <c r="E7" s="7"/>
      <c r="F7" s="155"/>
    </row>
    <row r="8" spans="1:7" ht="12">
      <c r="A8" s="6"/>
      <c r="B8" s="60"/>
      <c r="C8" s="78"/>
      <c r="D8" s="23"/>
      <c r="E8" s="7"/>
      <c r="F8" s="156"/>
    </row>
    <row r="9" spans="1:7" ht="12.75" thickBot="1">
      <c r="A9" s="6"/>
      <c r="B9" s="66" t="s">
        <v>218</v>
      </c>
      <c r="C9" s="77" t="s">
        <v>233</v>
      </c>
      <c r="D9" s="23"/>
      <c r="E9" s="7"/>
      <c r="F9" s="171"/>
      <c r="G9" s="75"/>
    </row>
    <row r="10" spans="1:7" ht="12.75" thickBot="1">
      <c r="A10" s="6"/>
      <c r="B10" s="9"/>
      <c r="C10" s="8"/>
      <c r="D10" s="7"/>
      <c r="E10" s="8"/>
      <c r="F10" s="155"/>
    </row>
    <row r="11" spans="1:7" ht="12">
      <c r="A11" s="6" t="s">
        <v>220</v>
      </c>
      <c r="B11" s="574" t="str">
        <f>IF(C9="[Maak een keuze]","Selecteer eerst hierboven uw systematiek voor de berekening van de subsidiabele kosten.",(IF(C9="Directe loonkosten plus vaste opslag-systematiek (50%)","Directe loonkosten",(IF(C9="integrale kostensystematiek","Directe en indirecte kosten op basis van integraal tarief","Directe en indirecte kosten op basis van vast tarief")))))</f>
        <v>Selecteer eerst hierboven uw systematiek voor de berekening van de subsidiabele kosten.</v>
      </c>
      <c r="C11" s="576"/>
      <c r="D11" s="576"/>
      <c r="E11" s="576"/>
      <c r="F11" s="157"/>
    </row>
    <row r="12" spans="1:7" ht="12">
      <c r="A12" s="6"/>
      <c r="B12" s="57"/>
      <c r="C12" s="2"/>
      <c r="D12" s="2"/>
      <c r="E12" s="10"/>
      <c r="F12" s="158"/>
    </row>
    <row r="13" spans="1:7" ht="12">
      <c r="A13" s="6"/>
      <c r="B13" s="58" t="s">
        <v>221</v>
      </c>
      <c r="C13" s="11" t="s">
        <v>294</v>
      </c>
      <c r="D13" s="4" t="s">
        <v>295</v>
      </c>
      <c r="E13" s="11" t="s">
        <v>296</v>
      </c>
      <c r="F13" s="158" t="s">
        <v>226</v>
      </c>
    </row>
    <row r="14" spans="1:7" ht="12">
      <c r="A14" s="1"/>
      <c r="B14" s="59"/>
      <c r="C14" s="53"/>
      <c r="D14" s="24"/>
      <c r="E14" s="12"/>
      <c r="F14" s="159">
        <f t="shared" ref="F14:F22" si="0">$D14*E14</f>
        <v>0</v>
      </c>
    </row>
    <row r="15" spans="1:7" ht="12">
      <c r="A15" s="1"/>
      <c r="B15" s="59"/>
      <c r="C15" s="53"/>
      <c r="D15" s="24"/>
      <c r="E15" s="12"/>
      <c r="F15" s="159">
        <f t="shared" si="0"/>
        <v>0</v>
      </c>
    </row>
    <row r="16" spans="1:7" ht="12">
      <c r="A16" s="1"/>
      <c r="B16" s="59"/>
      <c r="C16" s="53"/>
      <c r="D16" s="24"/>
      <c r="E16" s="12"/>
      <c r="F16" s="159">
        <f t="shared" si="0"/>
        <v>0</v>
      </c>
    </row>
    <row r="17" spans="1:6" ht="12">
      <c r="A17" s="1"/>
      <c r="B17" s="59"/>
      <c r="C17" s="53"/>
      <c r="D17" s="24"/>
      <c r="E17" s="12"/>
      <c r="F17" s="159">
        <f t="shared" si="0"/>
        <v>0</v>
      </c>
    </row>
    <row r="18" spans="1:6" ht="12">
      <c r="A18" s="1"/>
      <c r="B18" s="59"/>
      <c r="C18" s="53"/>
      <c r="D18" s="24"/>
      <c r="E18" s="12"/>
      <c r="F18" s="159">
        <f t="shared" si="0"/>
        <v>0</v>
      </c>
    </row>
    <row r="19" spans="1:6" ht="12">
      <c r="A19" s="1"/>
      <c r="B19" s="59"/>
      <c r="C19" s="53"/>
      <c r="D19" s="24"/>
      <c r="E19" s="12"/>
      <c r="F19" s="159">
        <f t="shared" si="0"/>
        <v>0</v>
      </c>
    </row>
    <row r="20" spans="1:6" ht="12">
      <c r="A20" s="1"/>
      <c r="B20" s="59"/>
      <c r="C20" s="53"/>
      <c r="D20" s="24"/>
      <c r="E20" s="12"/>
      <c r="F20" s="159">
        <f t="shared" si="0"/>
        <v>0</v>
      </c>
    </row>
    <row r="21" spans="1:6" ht="12">
      <c r="A21" s="1"/>
      <c r="B21" s="59"/>
      <c r="C21" s="53"/>
      <c r="D21" s="24"/>
      <c r="E21" s="12"/>
      <c r="F21" s="159">
        <f t="shared" si="0"/>
        <v>0</v>
      </c>
    </row>
    <row r="22" spans="1:6" ht="12">
      <c r="A22" s="1"/>
      <c r="B22" s="59"/>
      <c r="C22" s="53"/>
      <c r="D22" s="24"/>
      <c r="E22" s="12"/>
      <c r="F22" s="159">
        <f t="shared" si="0"/>
        <v>0</v>
      </c>
    </row>
    <row r="23" spans="1:6" ht="12">
      <c r="A23" s="6"/>
      <c r="B23" s="57"/>
      <c r="C23" s="2"/>
      <c r="D23" s="25"/>
      <c r="E23" s="26" t="s">
        <v>297</v>
      </c>
      <c r="F23" s="160">
        <f>SUM(F14:F22)</f>
        <v>0</v>
      </c>
    </row>
    <row r="24" spans="1:6" ht="12">
      <c r="A24" s="6"/>
      <c r="B24" s="60"/>
      <c r="C24" s="9"/>
      <c r="D24" s="27"/>
      <c r="E24" s="27"/>
      <c r="F24" s="161"/>
    </row>
    <row r="25" spans="1:6" ht="12.75" thickBot="1">
      <c r="A25" s="6"/>
      <c r="B25" s="60"/>
      <c r="C25" s="9"/>
      <c r="D25" s="2"/>
      <c r="E25" s="28" t="str">
        <f>IF(C9="Directe loonkosten plus vaste opslag-systematiek (50%)","Opslag algemene kosten (50%)","Geen opslag")</f>
        <v>Geen opslag</v>
      </c>
      <c r="F25" s="162">
        <f>IF($C9=Lijsten!$D$6,0,(IF($C9=Lijsten!$D$8,0,(IF($C9=Lijsten!$D$7,F23*0.5,"0")))))</f>
        <v>0</v>
      </c>
    </row>
    <row r="26" spans="1:6" ht="12.75" thickBot="1">
      <c r="A26" s="6"/>
      <c r="B26" s="61"/>
      <c r="C26" s="21"/>
      <c r="D26" s="29"/>
      <c r="E26" s="22" t="s">
        <v>237</v>
      </c>
      <c r="F26" s="163">
        <f>SUM(F14:F22,F25)</f>
        <v>0</v>
      </c>
    </row>
    <row r="27" spans="1:6" ht="12.75" thickBot="1">
      <c r="A27" s="2"/>
      <c r="B27" s="2"/>
      <c r="C27" s="2"/>
      <c r="D27" s="2"/>
      <c r="E27" s="2"/>
      <c r="F27" s="164"/>
    </row>
    <row r="28" spans="1:6" ht="12">
      <c r="A28" s="6" t="s">
        <v>238</v>
      </c>
      <c r="B28" s="62" t="s">
        <v>239</v>
      </c>
      <c r="C28" s="20"/>
      <c r="D28" s="20"/>
      <c r="E28" s="20"/>
      <c r="F28" s="157"/>
    </row>
    <row r="29" spans="1:6" ht="12">
      <c r="A29" s="6"/>
      <c r="B29" s="57"/>
      <c r="C29" s="2"/>
      <c r="D29" s="2"/>
      <c r="E29" s="10"/>
      <c r="F29" s="158"/>
    </row>
    <row r="30" spans="1:6" ht="12">
      <c r="A30" s="6"/>
      <c r="B30" s="58" t="s">
        <v>240</v>
      </c>
      <c r="C30" s="11"/>
      <c r="D30" s="11"/>
      <c r="F30" s="158" t="s">
        <v>241</v>
      </c>
    </row>
    <row r="31" spans="1:6" ht="12">
      <c r="A31" s="1"/>
      <c r="B31" s="586"/>
      <c r="C31" s="580"/>
      <c r="D31" s="30"/>
      <c r="E31" s="30"/>
      <c r="F31" s="165"/>
    </row>
    <row r="32" spans="1:6" ht="12">
      <c r="A32" s="1"/>
      <c r="B32" s="585"/>
      <c r="C32" s="578"/>
      <c r="D32" s="31"/>
      <c r="E32" s="31"/>
      <c r="F32" s="165">
        <v>0</v>
      </c>
    </row>
    <row r="33" spans="1:6" ht="12">
      <c r="A33" s="1"/>
      <c r="B33" s="585"/>
      <c r="C33" s="580"/>
      <c r="D33" s="31"/>
      <c r="E33" s="31"/>
      <c r="F33" s="165">
        <v>0</v>
      </c>
    </row>
    <row r="34" spans="1:6" ht="12">
      <c r="A34" s="1"/>
      <c r="B34" s="585"/>
      <c r="C34" s="580"/>
      <c r="D34" s="31"/>
      <c r="E34" s="31"/>
      <c r="F34" s="165">
        <v>0</v>
      </c>
    </row>
    <row r="35" spans="1:6" ht="12">
      <c r="A35" s="1"/>
      <c r="B35" s="585"/>
      <c r="C35" s="580"/>
      <c r="D35" s="31"/>
      <c r="E35" s="31"/>
      <c r="F35" s="165">
        <v>0</v>
      </c>
    </row>
    <row r="36" spans="1:6" ht="12">
      <c r="A36" s="1"/>
      <c r="B36" s="585"/>
      <c r="C36" s="580"/>
      <c r="D36" s="31"/>
      <c r="E36" s="31"/>
      <c r="F36" s="165">
        <v>0</v>
      </c>
    </row>
    <row r="37" spans="1:6" ht="12">
      <c r="A37" s="1"/>
      <c r="B37" s="585"/>
      <c r="C37" s="580"/>
      <c r="D37" s="31"/>
      <c r="E37" s="31"/>
      <c r="F37" s="165">
        <v>0</v>
      </c>
    </row>
    <row r="38" spans="1:6" ht="12">
      <c r="A38" s="1"/>
      <c r="B38" s="585"/>
      <c r="C38" s="580"/>
      <c r="D38" s="32"/>
      <c r="E38" s="32"/>
      <c r="F38" s="165">
        <v>0</v>
      </c>
    </row>
    <row r="39" spans="1:6" ht="12.75" thickBot="1">
      <c r="A39" s="1"/>
      <c r="B39" s="57"/>
      <c r="C39" s="2"/>
      <c r="D39" s="2"/>
      <c r="E39" s="13"/>
      <c r="F39" s="158"/>
    </row>
    <row r="40" spans="1:6" ht="12.75" thickBot="1">
      <c r="A40" s="6"/>
      <c r="B40" s="61"/>
      <c r="C40" s="21"/>
      <c r="D40" s="22"/>
      <c r="E40" s="22" t="s">
        <v>237</v>
      </c>
      <c r="F40" s="163">
        <f>SUM(F31:F38)</f>
        <v>0</v>
      </c>
    </row>
    <row r="41" spans="1:6" ht="12.75" thickBot="1">
      <c r="A41" s="2"/>
      <c r="B41" s="2"/>
      <c r="C41" s="2"/>
      <c r="D41" s="2"/>
      <c r="E41" s="2"/>
      <c r="F41" s="164"/>
    </row>
    <row r="42" spans="1:6" ht="12">
      <c r="A42" s="6">
        <v>3</v>
      </c>
      <c r="B42" s="62" t="s">
        <v>244</v>
      </c>
      <c r="C42" s="20"/>
      <c r="D42" s="20"/>
      <c r="E42" s="20"/>
      <c r="F42" s="157"/>
    </row>
    <row r="43" spans="1:6" ht="12">
      <c r="A43" s="6"/>
      <c r="B43" s="57"/>
      <c r="C43" s="2"/>
      <c r="D43" s="2"/>
      <c r="E43" s="10"/>
      <c r="F43" s="158"/>
    </row>
    <row r="44" spans="1:6" ht="12">
      <c r="A44" s="6"/>
      <c r="B44" s="58" t="s">
        <v>240</v>
      </c>
      <c r="C44" s="11"/>
      <c r="D44" s="11"/>
      <c r="F44" s="158" t="s">
        <v>241</v>
      </c>
    </row>
    <row r="45" spans="1:6" ht="12">
      <c r="A45" s="1"/>
      <c r="B45" s="586"/>
      <c r="C45" s="580"/>
      <c r="D45" s="30"/>
      <c r="E45" s="30"/>
      <c r="F45" s="165">
        <v>0</v>
      </c>
    </row>
    <row r="46" spans="1:6" ht="12">
      <c r="A46" s="1"/>
      <c r="B46" s="585"/>
      <c r="C46" s="578"/>
      <c r="D46" s="31"/>
      <c r="E46" s="31"/>
      <c r="F46" s="165">
        <v>0</v>
      </c>
    </row>
    <row r="47" spans="1:6" ht="12">
      <c r="A47" s="1"/>
      <c r="B47" s="585"/>
      <c r="C47" s="580"/>
      <c r="D47" s="31"/>
      <c r="E47" s="31"/>
      <c r="F47" s="165">
        <v>0</v>
      </c>
    </row>
    <row r="48" spans="1:6" ht="12">
      <c r="A48" s="1"/>
      <c r="B48" s="585"/>
      <c r="C48" s="580"/>
      <c r="D48" s="31"/>
      <c r="E48" s="31"/>
      <c r="F48" s="165">
        <v>0</v>
      </c>
    </row>
    <row r="49" spans="1:7" ht="12">
      <c r="A49" s="1"/>
      <c r="B49" s="585"/>
      <c r="C49" s="580"/>
      <c r="D49" s="31"/>
      <c r="E49" s="31"/>
      <c r="F49" s="165">
        <v>0</v>
      </c>
    </row>
    <row r="50" spans="1:7" ht="12">
      <c r="A50" s="1"/>
      <c r="B50" s="585"/>
      <c r="C50" s="580"/>
      <c r="D50" s="31"/>
      <c r="E50" s="31"/>
      <c r="F50" s="165">
        <v>0</v>
      </c>
    </row>
    <row r="51" spans="1:7" ht="12">
      <c r="A51" s="1"/>
      <c r="B51" s="585"/>
      <c r="C51" s="580"/>
      <c r="D51" s="31"/>
      <c r="E51" s="31"/>
      <c r="F51" s="165">
        <v>0</v>
      </c>
    </row>
    <row r="52" spans="1:7" ht="12">
      <c r="A52" s="1"/>
      <c r="B52" s="585"/>
      <c r="C52" s="580"/>
      <c r="D52" s="32"/>
      <c r="E52" s="32"/>
      <c r="F52" s="165">
        <v>0</v>
      </c>
    </row>
    <row r="53" spans="1:7" ht="12.75" thickBot="1">
      <c r="A53" s="1"/>
      <c r="B53" s="57"/>
      <c r="C53" s="2"/>
      <c r="D53" s="2"/>
      <c r="E53" s="13"/>
      <c r="F53" s="158"/>
    </row>
    <row r="54" spans="1:7" ht="12.75" thickBot="1">
      <c r="A54" s="6"/>
      <c r="B54" s="61"/>
      <c r="C54" s="21"/>
      <c r="D54" s="21"/>
      <c r="E54" s="22" t="s">
        <v>237</v>
      </c>
      <c r="F54" s="163">
        <f>SUM(F45:F52)</f>
        <v>0</v>
      </c>
    </row>
    <row r="55" spans="1:7" ht="12.75" thickBot="1">
      <c r="A55" s="2"/>
      <c r="B55" s="2"/>
      <c r="C55" s="2"/>
      <c r="D55" s="2"/>
      <c r="E55" s="34"/>
      <c r="F55" s="164"/>
    </row>
    <row r="56" spans="1:7" ht="13.5" thickBot="1">
      <c r="A56" s="6"/>
      <c r="B56" s="18" t="s">
        <v>248</v>
      </c>
      <c r="C56" s="18"/>
      <c r="D56" s="18"/>
      <c r="E56" s="19" t="s">
        <v>237</v>
      </c>
      <c r="F56" s="166">
        <f>IF(C9=Lijsten!A5,0,SUM(F26+F40+F54))</f>
        <v>0</v>
      </c>
      <c r="G56" s="138" t="str">
        <f>IF(AND(SUM(F26,F40,F54)&gt;0,F56=0)," &lt;-- Het totale bedrag wordt (nog) niet bepaald, omdat u boven aan dit blad nog geen loonkosten systematiek heeft gekozen","")</f>
        <v/>
      </c>
    </row>
    <row r="57" spans="1:7" ht="12.75" thickBot="1">
      <c r="A57" s="6"/>
      <c r="B57" s="9"/>
      <c r="C57" s="9"/>
      <c r="D57" s="9"/>
      <c r="E57" s="34"/>
      <c r="F57" s="164"/>
      <c r="G57" s="139"/>
    </row>
    <row r="58" spans="1:7" ht="12.75">
      <c r="A58" s="6"/>
      <c r="B58" s="63" t="s">
        <v>249</v>
      </c>
      <c r="C58" s="54"/>
      <c r="D58" s="54"/>
      <c r="E58" s="64"/>
      <c r="F58" s="233" t="e" vm="1">
        <f>VLOOKUP(C7,Lijsten!$A$5:$B$10,2,0)</f>
        <v>#VALUE!</v>
      </c>
      <c r="G58" s="138" t="e" vm="2">
        <f>IF(AND($F$56&gt;0,F58=0)," &lt;-- Let op: Bovenaan dit blad is nog geen organisatiesoort geselecteerd.","")</f>
        <v>#VALUE!</v>
      </c>
    </row>
    <row r="59" spans="1:7" ht="12.75">
      <c r="A59" s="6"/>
      <c r="B59" s="65" t="s">
        <v>250</v>
      </c>
      <c r="E59" s="55" t="e" vm="2">
        <f>IF(F58*F56&gt;50000,"Maximale subsidie is begrensd op 50.000 euro","")</f>
        <v>#VALUE!</v>
      </c>
      <c r="F59" s="175" t="e" vm="2">
        <f>IF(F58*F56&gt;50000,50000,F58*F56)</f>
        <v>#VALUE!</v>
      </c>
      <c r="G59" s="138"/>
    </row>
    <row r="60" spans="1:7" ht="12.75">
      <c r="A60" s="6"/>
      <c r="B60" s="65" t="s">
        <v>251</v>
      </c>
      <c r="D60" s="55"/>
      <c r="E60" s="34"/>
      <c r="F60" s="167">
        <v>0</v>
      </c>
      <c r="G60" s="138"/>
    </row>
    <row r="61" spans="1:7" ht="12.75">
      <c r="A61" s="6"/>
      <c r="B61" s="65" t="s">
        <v>252</v>
      </c>
      <c r="D61" s="55"/>
      <c r="E61" s="34"/>
      <c r="F61" s="175" t="e" vm="2">
        <f>F59-F60</f>
        <v>#VALUE!</v>
      </c>
      <c r="G61" s="138"/>
    </row>
    <row r="62" spans="1:7" ht="13.5" thickBot="1">
      <c r="A62" s="6"/>
      <c r="B62" s="66" t="s">
        <v>253</v>
      </c>
      <c r="C62" s="67"/>
      <c r="D62" s="56"/>
      <c r="E62" s="56"/>
      <c r="F62" s="168">
        <v>0</v>
      </c>
      <c r="G62" s="138" t="e" vm="2">
        <f>IF(AND(F59&lt;&gt;0,F62&lt;0.1)," &lt;-- Vul de gevraagde subsidie in.",IF(F62&gt;F61," &lt;-- De gevraagde subsidie is hoger dan de maximale subsidie.",""))</f>
        <v>#VALUE!</v>
      </c>
    </row>
    <row r="63" spans="1:7" ht="12.75" thickBot="1">
      <c r="A63" s="2"/>
      <c r="B63" s="2"/>
      <c r="C63" s="2"/>
      <c r="D63" s="2"/>
      <c r="E63" s="2"/>
      <c r="F63" s="164"/>
    </row>
    <row r="64" spans="1:7" ht="13.5" thickBot="1">
      <c r="A64" s="2"/>
      <c r="B64" s="35" t="s">
        <v>254</v>
      </c>
      <c r="C64" s="36"/>
      <c r="D64" s="36"/>
      <c r="E64" s="36"/>
      <c r="F64" s="169"/>
    </row>
    <row r="65" spans="2:6" ht="12" customHeight="1">
      <c r="B65" s="565"/>
      <c r="C65" s="566"/>
      <c r="D65" s="566"/>
      <c r="E65" s="566"/>
      <c r="F65" s="567"/>
    </row>
    <row r="66" spans="2:6" ht="12" customHeight="1">
      <c r="B66" s="565"/>
      <c r="C66" s="566"/>
      <c r="D66" s="566"/>
      <c r="E66" s="566"/>
      <c r="F66" s="567"/>
    </row>
    <row r="67" spans="2:6" ht="12" customHeight="1">
      <c r="B67" s="565"/>
      <c r="C67" s="566"/>
      <c r="D67" s="566"/>
      <c r="E67" s="566"/>
      <c r="F67" s="567"/>
    </row>
    <row r="68" spans="2:6" ht="12" customHeight="1">
      <c r="B68" s="565"/>
      <c r="C68" s="566"/>
      <c r="D68" s="566"/>
      <c r="E68" s="566"/>
      <c r="F68" s="567"/>
    </row>
    <row r="69" spans="2:6" ht="12" customHeight="1">
      <c r="B69" s="565"/>
      <c r="C69" s="566"/>
      <c r="D69" s="566"/>
      <c r="E69" s="566"/>
      <c r="F69" s="567"/>
    </row>
    <row r="70" spans="2:6" ht="12" customHeight="1">
      <c r="B70" s="565"/>
      <c r="C70" s="566"/>
      <c r="D70" s="566"/>
      <c r="E70" s="566"/>
      <c r="F70" s="567"/>
    </row>
    <row r="71" spans="2:6" ht="12" customHeight="1">
      <c r="B71" s="565"/>
      <c r="C71" s="566"/>
      <c r="D71" s="566"/>
      <c r="E71" s="566"/>
      <c r="F71" s="567"/>
    </row>
    <row r="72" spans="2:6" ht="12" customHeight="1">
      <c r="B72" s="565"/>
      <c r="C72" s="566"/>
      <c r="D72" s="566"/>
      <c r="E72" s="566"/>
      <c r="F72" s="567"/>
    </row>
    <row r="73" spans="2:6" ht="12" customHeight="1">
      <c r="B73" s="565"/>
      <c r="C73" s="566"/>
      <c r="D73" s="566"/>
      <c r="E73" s="566"/>
      <c r="F73" s="567"/>
    </row>
    <row r="74" spans="2:6" ht="12" customHeight="1">
      <c r="B74" s="565"/>
      <c r="C74" s="566"/>
      <c r="D74" s="566"/>
      <c r="E74" s="566"/>
      <c r="F74" s="567"/>
    </row>
    <row r="75" spans="2:6" ht="12" customHeight="1">
      <c r="B75" s="568"/>
      <c r="C75" s="569"/>
      <c r="D75" s="569"/>
      <c r="E75" s="569"/>
      <c r="F75" s="570"/>
    </row>
    <row r="76" spans="2:6" ht="12" customHeight="1" thickBot="1">
      <c r="B76" s="571"/>
      <c r="C76" s="572"/>
      <c r="D76" s="572"/>
      <c r="E76" s="572"/>
      <c r="F76" s="573"/>
    </row>
  </sheetData>
  <sheetProtection algorithmName="SHA-512" hashValue="5DWZ5dqEBjQG2+rtwTIWooOcOps0Fy6wsRMM/L8uez7hmPIeyt3/Q/loWagGIc0aJS6QAGT/00YHNL3yJnlHGQ==" saltValue="PQCXO6vKmn4OEF30rhDABg==" spinCount="100000" sheet="1"/>
  <mergeCells count="29">
    <mergeCell ref="B72:F72"/>
    <mergeCell ref="B73:F73"/>
    <mergeCell ref="B74:F74"/>
    <mergeCell ref="B75:F75"/>
    <mergeCell ref="B76:F76"/>
    <mergeCell ref="B71:F71"/>
    <mergeCell ref="B48:C48"/>
    <mergeCell ref="B49:C49"/>
    <mergeCell ref="B50:C50"/>
    <mergeCell ref="B51:C51"/>
    <mergeCell ref="B52:C52"/>
    <mergeCell ref="B65:F65"/>
    <mergeCell ref="B66:F66"/>
    <mergeCell ref="B67:F67"/>
    <mergeCell ref="B68:F68"/>
    <mergeCell ref="B69:F69"/>
    <mergeCell ref="B70:F70"/>
    <mergeCell ref="B47:C47"/>
    <mergeCell ref="B11:E11"/>
    <mergeCell ref="B31:C31"/>
    <mergeCell ref="B32:C32"/>
    <mergeCell ref="B33:C33"/>
    <mergeCell ref="B34:C34"/>
    <mergeCell ref="B35:C35"/>
    <mergeCell ref="B36:C36"/>
    <mergeCell ref="B37:C37"/>
    <mergeCell ref="B38:C38"/>
    <mergeCell ref="B45:C45"/>
    <mergeCell ref="B46:C46"/>
  </mergeCells>
  <conditionalFormatting sqref="B11">
    <cfRule type="cellIs" dxfId="14" priority="3" stopIfTrue="1" operator="equal">
      <formula>"Selecteer eerst hierboven uw systematiek voor de berekening van de subsidiabele kosten."</formula>
    </cfRule>
  </conditionalFormatting>
  <conditionalFormatting sqref="B30">
    <cfRule type="cellIs" dxfId="13" priority="5" stopIfTrue="1" operator="equal">
      <formula>"Kies eerst uw systematiek voor de berekening van de subsidiabele kosten"</formula>
    </cfRule>
  </conditionalFormatting>
  <conditionalFormatting sqref="B44">
    <cfRule type="cellIs" dxfId="12" priority="4" stopIfTrue="1" operator="equal">
      <formula>"Kies eerst uw systematiek voor de berekening van de subsidiabele kosten"</formula>
    </cfRule>
  </conditionalFormatting>
  <conditionalFormatting sqref="E25">
    <cfRule type="cellIs" dxfId="11" priority="2" stopIfTrue="1" operator="equal">
      <formula>"Opslag algemene kosten (50%)"</formula>
    </cfRule>
  </conditionalFormatting>
  <conditionalFormatting sqref="F62">
    <cfRule type="cellIs" dxfId="10" priority="1" operator="greaterThan">
      <formula>$F$59</formula>
    </cfRule>
  </conditionalFormatting>
  <dataValidations count="3">
    <dataValidation type="list" allowBlank="1" showErrorMessage="1" errorTitle="Onjuiste invoer" error="Maak een keuze tussen de integrale kostensystematiek, de loonkosten plus vaste opslag-systematiek of de vaste uurtarief-systematiek." sqref="C9" xr:uid="{0C23B072-ED23-4F71-A128-3A44D853A021}">
      <formula1>Kostensystematiek</formula1>
    </dataValidation>
    <dataValidation type="list" allowBlank="1" showInputMessage="1" showErrorMessage="1" sqref="C7" xr:uid="{5FE4A64B-FD43-441F-8D43-E9AD960A8B9C}">
      <formula1>Organisatiesoort</formula1>
    </dataValidation>
    <dataValidation allowBlank="1" showErrorMessage="1" sqref="B31:C38 B45:C52" xr:uid="{C4E9AB1C-9636-4A16-8C53-2264453C6E6D}"/>
  </dataValidations>
  <printOptions horizontalCentered="1"/>
  <pageMargins left="0.19685039370078741" right="0.19685039370078741" top="0.55118110236220474" bottom="0.39370078740157483" header="0" footer="0"/>
  <pageSetup paperSize="9" scale="81" orientation="portrait" r:id="rId1"/>
  <headerFooter alignWithMargins="0">
    <oddHeader>&amp;L&amp;F</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0A081-B809-4ADD-A6D8-00DB313CE3DC}">
  <sheetPr transitionEvaluation="1">
    <tabColor rgb="FFFFFF00"/>
    <pageSetUpPr fitToPage="1"/>
  </sheetPr>
  <dimension ref="A1:G76"/>
  <sheetViews>
    <sheetView showGridLines="0" zoomScaleNormal="100" workbookViewId="0"/>
  </sheetViews>
  <sheetFormatPr defaultColWidth="10.875" defaultRowHeight="15.6" customHeight="1"/>
  <cols>
    <col min="1" max="1" width="3.625" customWidth="1"/>
    <col min="2" max="2" width="28.625" customWidth="1"/>
    <col min="3" max="3" width="41.125" customWidth="1"/>
    <col min="4" max="4" width="21.625" customWidth="1"/>
    <col min="5" max="5" width="23.375" customWidth="1"/>
    <col min="6" max="6" width="11" style="170" customWidth="1"/>
    <col min="7" max="10" width="10.875" customWidth="1"/>
  </cols>
  <sheetData>
    <row r="1" spans="1:7" ht="15.6" customHeight="1" thickBot="1">
      <c r="A1" s="47"/>
      <c r="B1" s="5"/>
      <c r="C1" s="5"/>
      <c r="D1" s="5"/>
      <c r="E1" s="33"/>
      <c r="F1" s="154"/>
    </row>
    <row r="2" spans="1:7" ht="12">
      <c r="A2" s="1"/>
      <c r="B2" s="69" t="s">
        <v>208</v>
      </c>
      <c r="C2" s="71"/>
      <c r="D2" s="2"/>
      <c r="E2" s="3"/>
      <c r="F2" s="155"/>
    </row>
    <row r="3" spans="1:7" ht="12">
      <c r="A3" s="6"/>
      <c r="B3" s="70" t="s">
        <v>210</v>
      </c>
      <c r="C3" s="74" t="str">
        <f>IF(projecttitel="","Vul dit in op tabblad 'Aanvrager 1'",projecttitel)</f>
        <v>Project X</v>
      </c>
      <c r="D3" s="7"/>
      <c r="E3" s="8"/>
      <c r="F3" s="155"/>
    </row>
    <row r="4" spans="1:7" ht="12">
      <c r="A4" s="6"/>
      <c r="B4" s="70" t="s">
        <v>212</v>
      </c>
      <c r="C4" s="74">
        <f>IF(project_startdatum=0,"Vul dit in op tabblad 'Aanvrager 1'",project_startdatum)</f>
        <v>45778</v>
      </c>
      <c r="D4" s="7"/>
      <c r="E4" s="8"/>
      <c r="F4" s="155"/>
    </row>
    <row r="5" spans="1:7" ht="12">
      <c r="A5" s="6"/>
      <c r="B5" s="70" t="s">
        <v>213</v>
      </c>
      <c r="C5" s="74">
        <f>IF(project_einddatum=0,"Vul dit in op tabblad 'Aanvrager 1'",project_einddatum)</f>
        <v>46752</v>
      </c>
      <c r="D5" s="48"/>
      <c r="E5" s="8"/>
      <c r="F5" s="155"/>
    </row>
    <row r="6" spans="1:7" ht="12">
      <c r="A6" s="6"/>
      <c r="B6" s="60"/>
      <c r="C6" s="37"/>
      <c r="D6" s="7"/>
      <c r="E6" s="8"/>
      <c r="F6" s="155"/>
    </row>
    <row r="7" spans="1:7" ht="12">
      <c r="A7" s="6"/>
      <c r="B7" s="65" t="s">
        <v>17</v>
      </c>
      <c r="C7" s="76" t="s">
        <v>233</v>
      </c>
      <c r="D7" s="23"/>
      <c r="E7" s="7"/>
      <c r="F7" s="155"/>
    </row>
    <row r="8" spans="1:7" ht="12">
      <c r="A8" s="6"/>
      <c r="B8" s="60"/>
      <c r="C8" s="78"/>
      <c r="D8" s="23"/>
      <c r="E8" s="7"/>
      <c r="F8" s="156"/>
    </row>
    <row r="9" spans="1:7" ht="12.75" thickBot="1">
      <c r="A9" s="6"/>
      <c r="B9" s="66" t="s">
        <v>218</v>
      </c>
      <c r="C9" s="77" t="s">
        <v>233</v>
      </c>
      <c r="D9" s="23"/>
      <c r="E9" s="7"/>
      <c r="F9" s="171"/>
      <c r="G9" s="75"/>
    </row>
    <row r="10" spans="1:7" ht="12.75" thickBot="1">
      <c r="A10" s="6"/>
      <c r="B10" s="9"/>
      <c r="C10" s="8"/>
      <c r="D10" s="7"/>
      <c r="E10" s="8"/>
      <c r="F10" s="155"/>
    </row>
    <row r="11" spans="1:7" ht="12">
      <c r="A11" s="6" t="s">
        <v>220</v>
      </c>
      <c r="B11" s="574" t="str">
        <f>IF(C9="[Maak een keuze]","Selecteer eerst hierboven uw systematiek voor de berekening van de subsidiabele kosten.",(IF(C9="Directe loonkosten plus vaste opslag-systematiek (50%)","Directe loonkosten",(IF(C9="integrale kostensystematiek","Directe en indirecte kosten op basis van integraal tarief","Directe en indirecte kosten op basis van vast tarief")))))</f>
        <v>Selecteer eerst hierboven uw systematiek voor de berekening van de subsidiabele kosten.</v>
      </c>
      <c r="C11" s="576"/>
      <c r="D11" s="576"/>
      <c r="E11" s="576"/>
      <c r="F11" s="157"/>
    </row>
    <row r="12" spans="1:7" ht="12">
      <c r="A12" s="6"/>
      <c r="B12" s="57"/>
      <c r="C12" s="2"/>
      <c r="D12" s="2"/>
      <c r="E12" s="10"/>
      <c r="F12" s="158"/>
    </row>
    <row r="13" spans="1:7" ht="12">
      <c r="A13" s="6"/>
      <c r="B13" s="58" t="s">
        <v>221</v>
      </c>
      <c r="C13" s="11" t="s">
        <v>294</v>
      </c>
      <c r="D13" s="4" t="s">
        <v>295</v>
      </c>
      <c r="E13" s="11" t="s">
        <v>296</v>
      </c>
      <c r="F13" s="158" t="s">
        <v>226</v>
      </c>
    </row>
    <row r="14" spans="1:7" ht="12">
      <c r="A14" s="1"/>
      <c r="B14" s="59"/>
      <c r="C14" s="53"/>
      <c r="D14" s="24"/>
      <c r="E14" s="12"/>
      <c r="F14" s="159">
        <f t="shared" ref="F14:F22" si="0">$D14*E14</f>
        <v>0</v>
      </c>
    </row>
    <row r="15" spans="1:7" ht="12">
      <c r="A15" s="1"/>
      <c r="B15" s="59"/>
      <c r="C15" s="53"/>
      <c r="D15" s="24"/>
      <c r="E15" s="12"/>
      <c r="F15" s="159">
        <f t="shared" si="0"/>
        <v>0</v>
      </c>
    </row>
    <row r="16" spans="1:7" ht="12">
      <c r="A16" s="1"/>
      <c r="B16" s="59"/>
      <c r="C16" s="53"/>
      <c r="D16" s="24"/>
      <c r="E16" s="12"/>
      <c r="F16" s="159">
        <f t="shared" si="0"/>
        <v>0</v>
      </c>
    </row>
    <row r="17" spans="1:6" ht="12">
      <c r="A17" s="1"/>
      <c r="B17" s="59"/>
      <c r="C17" s="53"/>
      <c r="D17" s="24"/>
      <c r="E17" s="12"/>
      <c r="F17" s="159">
        <f t="shared" si="0"/>
        <v>0</v>
      </c>
    </row>
    <row r="18" spans="1:6" ht="12">
      <c r="A18" s="1"/>
      <c r="B18" s="59"/>
      <c r="C18" s="53"/>
      <c r="D18" s="24"/>
      <c r="E18" s="12"/>
      <c r="F18" s="159">
        <f t="shared" si="0"/>
        <v>0</v>
      </c>
    </row>
    <row r="19" spans="1:6" ht="12">
      <c r="A19" s="1"/>
      <c r="B19" s="59"/>
      <c r="C19" s="53"/>
      <c r="D19" s="24"/>
      <c r="E19" s="12"/>
      <c r="F19" s="159">
        <f t="shared" si="0"/>
        <v>0</v>
      </c>
    </row>
    <row r="20" spans="1:6" ht="12">
      <c r="A20" s="1"/>
      <c r="B20" s="59"/>
      <c r="C20" s="53"/>
      <c r="D20" s="24"/>
      <c r="E20" s="12"/>
      <c r="F20" s="159">
        <f t="shared" si="0"/>
        <v>0</v>
      </c>
    </row>
    <row r="21" spans="1:6" ht="12">
      <c r="A21" s="1"/>
      <c r="B21" s="59"/>
      <c r="C21" s="53"/>
      <c r="D21" s="24"/>
      <c r="E21" s="12"/>
      <c r="F21" s="159">
        <f t="shared" si="0"/>
        <v>0</v>
      </c>
    </row>
    <row r="22" spans="1:6" ht="12">
      <c r="A22" s="1"/>
      <c r="B22" s="59"/>
      <c r="C22" s="53"/>
      <c r="D22" s="24"/>
      <c r="E22" s="12"/>
      <c r="F22" s="159">
        <f t="shared" si="0"/>
        <v>0</v>
      </c>
    </row>
    <row r="23" spans="1:6" ht="12">
      <c r="A23" s="6"/>
      <c r="B23" s="57"/>
      <c r="C23" s="2"/>
      <c r="D23" s="25"/>
      <c r="E23" s="26" t="s">
        <v>297</v>
      </c>
      <c r="F23" s="160">
        <f>SUM(F14:F22)</f>
        <v>0</v>
      </c>
    </row>
    <row r="24" spans="1:6" ht="12">
      <c r="A24" s="6"/>
      <c r="B24" s="60"/>
      <c r="C24" s="9"/>
      <c r="D24" s="27"/>
      <c r="E24" s="27"/>
      <c r="F24" s="161"/>
    </row>
    <row r="25" spans="1:6" ht="12.75" thickBot="1">
      <c r="A25" s="6"/>
      <c r="B25" s="60"/>
      <c r="C25" s="9"/>
      <c r="D25" s="2"/>
      <c r="E25" s="28" t="str">
        <f>IF(C9="Directe loonkosten plus vaste opslag-systematiek (50%)","Opslag algemene kosten (50%)","Geen opslag")</f>
        <v>Geen opslag</v>
      </c>
      <c r="F25" s="162">
        <f>IF($C9=Lijsten!$D$6,0,(IF($C9=Lijsten!$D$8,0,(IF($C9=Lijsten!$D$7,F23*0.5,"0")))))</f>
        <v>0</v>
      </c>
    </row>
    <row r="26" spans="1:6" ht="12.75" thickBot="1">
      <c r="A26" s="6"/>
      <c r="B26" s="61"/>
      <c r="C26" s="21"/>
      <c r="D26" s="29"/>
      <c r="E26" s="22" t="s">
        <v>237</v>
      </c>
      <c r="F26" s="163">
        <f>SUM(F14:F22,F25)</f>
        <v>0</v>
      </c>
    </row>
    <row r="27" spans="1:6" ht="12.75" thickBot="1">
      <c r="A27" s="2"/>
      <c r="B27" s="2"/>
      <c r="C27" s="2"/>
      <c r="D27" s="2"/>
      <c r="E27" s="2"/>
      <c r="F27" s="164"/>
    </row>
    <row r="28" spans="1:6" ht="12">
      <c r="A28" s="6" t="s">
        <v>238</v>
      </c>
      <c r="B28" s="62" t="s">
        <v>239</v>
      </c>
      <c r="C28" s="20"/>
      <c r="D28" s="20"/>
      <c r="E28" s="20"/>
      <c r="F28" s="157"/>
    </row>
    <row r="29" spans="1:6" ht="12">
      <c r="A29" s="6"/>
      <c r="B29" s="57"/>
      <c r="C29" s="2"/>
      <c r="D29" s="2"/>
      <c r="E29" s="10"/>
      <c r="F29" s="158"/>
    </row>
    <row r="30" spans="1:6" ht="12">
      <c r="A30" s="6"/>
      <c r="B30" s="58" t="s">
        <v>240</v>
      </c>
      <c r="C30" s="11"/>
      <c r="D30" s="11"/>
      <c r="F30" s="158" t="s">
        <v>241</v>
      </c>
    </row>
    <row r="31" spans="1:6" ht="12">
      <c r="A31" s="1"/>
      <c r="B31" s="586"/>
      <c r="C31" s="580"/>
      <c r="D31" s="30"/>
      <c r="E31" s="30"/>
      <c r="F31" s="165"/>
    </row>
    <row r="32" spans="1:6" ht="12">
      <c r="A32" s="1"/>
      <c r="B32" s="585"/>
      <c r="C32" s="578"/>
      <c r="D32" s="31"/>
      <c r="E32" s="31"/>
      <c r="F32" s="165">
        <v>0</v>
      </c>
    </row>
    <row r="33" spans="1:6" ht="12">
      <c r="A33" s="1"/>
      <c r="B33" s="585"/>
      <c r="C33" s="580"/>
      <c r="D33" s="31"/>
      <c r="E33" s="31"/>
      <c r="F33" s="165">
        <v>0</v>
      </c>
    </row>
    <row r="34" spans="1:6" ht="12">
      <c r="A34" s="1"/>
      <c r="B34" s="585"/>
      <c r="C34" s="580"/>
      <c r="D34" s="31"/>
      <c r="E34" s="31"/>
      <c r="F34" s="165">
        <v>0</v>
      </c>
    </row>
    <row r="35" spans="1:6" ht="12">
      <c r="A35" s="1"/>
      <c r="B35" s="585"/>
      <c r="C35" s="580"/>
      <c r="D35" s="31"/>
      <c r="E35" s="31"/>
      <c r="F35" s="165">
        <v>0</v>
      </c>
    </row>
    <row r="36" spans="1:6" ht="12">
      <c r="A36" s="1"/>
      <c r="B36" s="585"/>
      <c r="C36" s="580"/>
      <c r="D36" s="31"/>
      <c r="E36" s="31"/>
      <c r="F36" s="165">
        <v>0</v>
      </c>
    </row>
    <row r="37" spans="1:6" ht="12">
      <c r="A37" s="1"/>
      <c r="B37" s="585"/>
      <c r="C37" s="580"/>
      <c r="D37" s="31"/>
      <c r="E37" s="31"/>
      <c r="F37" s="165">
        <v>0</v>
      </c>
    </row>
    <row r="38" spans="1:6" ht="12">
      <c r="A38" s="1"/>
      <c r="B38" s="585"/>
      <c r="C38" s="580"/>
      <c r="D38" s="32"/>
      <c r="E38" s="32"/>
      <c r="F38" s="165">
        <v>0</v>
      </c>
    </row>
    <row r="39" spans="1:6" ht="12.75" thickBot="1">
      <c r="A39" s="1"/>
      <c r="B39" s="57"/>
      <c r="C39" s="2"/>
      <c r="D39" s="2"/>
      <c r="E39" s="13"/>
      <c r="F39" s="158"/>
    </row>
    <row r="40" spans="1:6" ht="12.75" thickBot="1">
      <c r="A40" s="6"/>
      <c r="B40" s="61"/>
      <c r="C40" s="21"/>
      <c r="D40" s="22"/>
      <c r="E40" s="22" t="s">
        <v>237</v>
      </c>
      <c r="F40" s="163">
        <f>SUM(F31:F38)</f>
        <v>0</v>
      </c>
    </row>
    <row r="41" spans="1:6" ht="12.75" thickBot="1">
      <c r="A41" s="2"/>
      <c r="B41" s="2"/>
      <c r="C41" s="2"/>
      <c r="D41" s="2"/>
      <c r="E41" s="2"/>
      <c r="F41" s="164"/>
    </row>
    <row r="42" spans="1:6" ht="12">
      <c r="A42" s="6">
        <v>3</v>
      </c>
      <c r="B42" s="62" t="s">
        <v>244</v>
      </c>
      <c r="C42" s="20"/>
      <c r="D42" s="20"/>
      <c r="E42" s="20"/>
      <c r="F42" s="157"/>
    </row>
    <row r="43" spans="1:6" ht="12">
      <c r="A43" s="6"/>
      <c r="B43" s="57"/>
      <c r="C43" s="2"/>
      <c r="D43" s="2"/>
      <c r="E43" s="10"/>
      <c r="F43" s="158"/>
    </row>
    <row r="44" spans="1:6" ht="12">
      <c r="A44" s="6"/>
      <c r="B44" s="58" t="s">
        <v>240</v>
      </c>
      <c r="C44" s="11"/>
      <c r="D44" s="11"/>
      <c r="F44" s="158" t="s">
        <v>241</v>
      </c>
    </row>
    <row r="45" spans="1:6" ht="12">
      <c r="A45" s="1"/>
      <c r="B45" s="586"/>
      <c r="C45" s="580"/>
      <c r="D45" s="30"/>
      <c r="E45" s="30"/>
      <c r="F45" s="165">
        <v>0</v>
      </c>
    </row>
    <row r="46" spans="1:6" ht="12">
      <c r="A46" s="1"/>
      <c r="B46" s="585"/>
      <c r="C46" s="578"/>
      <c r="D46" s="31"/>
      <c r="E46" s="31"/>
      <c r="F46" s="165">
        <v>0</v>
      </c>
    </row>
    <row r="47" spans="1:6" ht="12">
      <c r="A47" s="1"/>
      <c r="B47" s="585"/>
      <c r="C47" s="580"/>
      <c r="D47" s="31"/>
      <c r="E47" s="31"/>
      <c r="F47" s="165">
        <v>0</v>
      </c>
    </row>
    <row r="48" spans="1:6" ht="12">
      <c r="A48" s="1"/>
      <c r="B48" s="585"/>
      <c r="C48" s="580"/>
      <c r="D48" s="31"/>
      <c r="E48" s="31"/>
      <c r="F48" s="165">
        <v>0</v>
      </c>
    </row>
    <row r="49" spans="1:7" ht="12">
      <c r="A49" s="1"/>
      <c r="B49" s="585"/>
      <c r="C49" s="580"/>
      <c r="D49" s="31"/>
      <c r="E49" s="31"/>
      <c r="F49" s="165">
        <v>0</v>
      </c>
    </row>
    <row r="50" spans="1:7" ht="12">
      <c r="A50" s="1"/>
      <c r="B50" s="585"/>
      <c r="C50" s="580"/>
      <c r="D50" s="31"/>
      <c r="E50" s="31"/>
      <c r="F50" s="165">
        <v>0</v>
      </c>
    </row>
    <row r="51" spans="1:7" ht="12">
      <c r="A51" s="1"/>
      <c r="B51" s="585"/>
      <c r="C51" s="580"/>
      <c r="D51" s="31"/>
      <c r="E51" s="31"/>
      <c r="F51" s="165">
        <v>0</v>
      </c>
    </row>
    <row r="52" spans="1:7" ht="12">
      <c r="A52" s="1"/>
      <c r="B52" s="585"/>
      <c r="C52" s="580"/>
      <c r="D52" s="32"/>
      <c r="E52" s="32"/>
      <c r="F52" s="165">
        <v>0</v>
      </c>
    </row>
    <row r="53" spans="1:7" ht="12.75" thickBot="1">
      <c r="A53" s="1"/>
      <c r="B53" s="57"/>
      <c r="C53" s="2"/>
      <c r="D53" s="2"/>
      <c r="E53" s="13"/>
      <c r="F53" s="158"/>
    </row>
    <row r="54" spans="1:7" ht="12.75" thickBot="1">
      <c r="A54" s="6"/>
      <c r="B54" s="61"/>
      <c r="C54" s="21"/>
      <c r="D54" s="21"/>
      <c r="E54" s="22" t="s">
        <v>237</v>
      </c>
      <c r="F54" s="163">
        <f>SUM(F45:F52)</f>
        <v>0</v>
      </c>
    </row>
    <row r="55" spans="1:7" ht="12.75" thickBot="1">
      <c r="A55" s="2"/>
      <c r="B55" s="2"/>
      <c r="C55" s="2"/>
      <c r="D55" s="2"/>
      <c r="E55" s="34"/>
      <c r="F55" s="164"/>
    </row>
    <row r="56" spans="1:7" ht="13.5" thickBot="1">
      <c r="A56" s="6"/>
      <c r="B56" s="18" t="s">
        <v>248</v>
      </c>
      <c r="C56" s="18"/>
      <c r="D56" s="18"/>
      <c r="E56" s="19" t="s">
        <v>237</v>
      </c>
      <c r="F56" s="166">
        <f>IF(C9=Lijsten!A5,0,SUM(F26+F40+F54))</f>
        <v>0</v>
      </c>
      <c r="G56" s="138" t="str">
        <f>IF(AND(SUM(F26,F40,F54)&gt;0,F56=0)," &lt;-- Het totale bedrag wordt (nog) niet bepaald, omdat u boven aan dit blad nog geen loonkosten systematiek heeft gekozen","")</f>
        <v/>
      </c>
    </row>
    <row r="57" spans="1:7" ht="12.75" thickBot="1">
      <c r="A57" s="6"/>
      <c r="B57" s="9"/>
      <c r="C57" s="9"/>
      <c r="D57" s="9"/>
      <c r="E57" s="34"/>
      <c r="F57" s="164"/>
      <c r="G57" s="139"/>
    </row>
    <row r="58" spans="1:7" ht="12.75">
      <c r="A58" s="6"/>
      <c r="B58" s="63" t="s">
        <v>249</v>
      </c>
      <c r="C58" s="54"/>
      <c r="D58" s="54"/>
      <c r="E58" s="64"/>
      <c r="F58" s="233" t="e" vm="1">
        <f>VLOOKUP(C7,Lijsten!$A$5:$B$10,2,0)</f>
        <v>#VALUE!</v>
      </c>
      <c r="G58" s="138" t="e" vm="2">
        <f>IF(AND($F$56&gt;0,F58=0)," &lt;-- Let op: Bovenaan dit blad is nog geen organisatiesoort geselecteerd.","")</f>
        <v>#VALUE!</v>
      </c>
    </row>
    <row r="59" spans="1:7" ht="12.75">
      <c r="A59" s="6"/>
      <c r="B59" s="65" t="s">
        <v>250</v>
      </c>
      <c r="E59" s="55" t="e" vm="2">
        <f>IF(F58*F56&gt;50000,"Maximale subsidie is begrensd op 50.000 euro","")</f>
        <v>#VALUE!</v>
      </c>
      <c r="F59" s="175" t="e" vm="2">
        <f>IF(F58*F56&gt;50000,50000,F58*F56)</f>
        <v>#VALUE!</v>
      </c>
      <c r="G59" s="138"/>
    </row>
    <row r="60" spans="1:7" ht="12.75">
      <c r="A60" s="6"/>
      <c r="B60" s="65" t="s">
        <v>251</v>
      </c>
      <c r="D60" s="55"/>
      <c r="E60" s="34"/>
      <c r="F60" s="167">
        <v>0</v>
      </c>
      <c r="G60" s="138"/>
    </row>
    <row r="61" spans="1:7" ht="12.75">
      <c r="A61" s="6"/>
      <c r="B61" s="65" t="s">
        <v>252</v>
      </c>
      <c r="D61" s="55"/>
      <c r="E61" s="34"/>
      <c r="F61" s="175" t="e" vm="2">
        <f>F59-F60</f>
        <v>#VALUE!</v>
      </c>
      <c r="G61" s="138"/>
    </row>
    <row r="62" spans="1:7" ht="13.5" thickBot="1">
      <c r="A62" s="6"/>
      <c r="B62" s="66" t="s">
        <v>253</v>
      </c>
      <c r="C62" s="67"/>
      <c r="D62" s="56"/>
      <c r="E62" s="56"/>
      <c r="F62" s="168">
        <v>0</v>
      </c>
      <c r="G62" s="138" t="e" vm="2">
        <f>IF(AND(F59&lt;&gt;0,F62&lt;0.1)," &lt;-- Vul de gevraagde subsidie in.",IF(F62&gt;F61," &lt;-- De gevraagde subsidie is hoger dan de maximale subsidie.",""))</f>
        <v>#VALUE!</v>
      </c>
    </row>
    <row r="63" spans="1:7" ht="12.75" thickBot="1">
      <c r="A63" s="2"/>
      <c r="B63" s="2"/>
      <c r="C63" s="2"/>
      <c r="D63" s="2"/>
      <c r="E63" s="2"/>
      <c r="F63" s="164"/>
    </row>
    <row r="64" spans="1:7" ht="13.5" thickBot="1">
      <c r="A64" s="2"/>
      <c r="B64" s="35" t="s">
        <v>254</v>
      </c>
      <c r="C64" s="36"/>
      <c r="D64" s="36"/>
      <c r="E64" s="36"/>
      <c r="F64" s="169"/>
    </row>
    <row r="65" spans="2:6" ht="12" customHeight="1">
      <c r="B65" s="565"/>
      <c r="C65" s="566"/>
      <c r="D65" s="566"/>
      <c r="E65" s="566"/>
      <c r="F65" s="567"/>
    </row>
    <row r="66" spans="2:6" ht="12" customHeight="1">
      <c r="B66" s="565"/>
      <c r="C66" s="566"/>
      <c r="D66" s="566"/>
      <c r="E66" s="566"/>
      <c r="F66" s="567"/>
    </row>
    <row r="67" spans="2:6" ht="12" customHeight="1">
      <c r="B67" s="565"/>
      <c r="C67" s="566"/>
      <c r="D67" s="566"/>
      <c r="E67" s="566"/>
      <c r="F67" s="567"/>
    </row>
    <row r="68" spans="2:6" ht="12" customHeight="1">
      <c r="B68" s="565"/>
      <c r="C68" s="566"/>
      <c r="D68" s="566"/>
      <c r="E68" s="566"/>
      <c r="F68" s="567"/>
    </row>
    <row r="69" spans="2:6" ht="12" customHeight="1">
      <c r="B69" s="565"/>
      <c r="C69" s="566"/>
      <c r="D69" s="566"/>
      <c r="E69" s="566"/>
      <c r="F69" s="567"/>
    </row>
    <row r="70" spans="2:6" ht="12" customHeight="1">
      <c r="B70" s="565"/>
      <c r="C70" s="566"/>
      <c r="D70" s="566"/>
      <c r="E70" s="566"/>
      <c r="F70" s="567"/>
    </row>
    <row r="71" spans="2:6" ht="12" customHeight="1">
      <c r="B71" s="565"/>
      <c r="C71" s="566"/>
      <c r="D71" s="566"/>
      <c r="E71" s="566"/>
      <c r="F71" s="567"/>
    </row>
    <row r="72" spans="2:6" ht="12" customHeight="1">
      <c r="B72" s="565"/>
      <c r="C72" s="566"/>
      <c r="D72" s="566"/>
      <c r="E72" s="566"/>
      <c r="F72" s="567"/>
    </row>
    <row r="73" spans="2:6" ht="12" customHeight="1">
      <c r="B73" s="565"/>
      <c r="C73" s="566"/>
      <c r="D73" s="566"/>
      <c r="E73" s="566"/>
      <c r="F73" s="567"/>
    </row>
    <row r="74" spans="2:6" ht="12" customHeight="1">
      <c r="B74" s="565"/>
      <c r="C74" s="566"/>
      <c r="D74" s="566"/>
      <c r="E74" s="566"/>
      <c r="F74" s="567"/>
    </row>
    <row r="75" spans="2:6" ht="12" customHeight="1">
      <c r="B75" s="568"/>
      <c r="C75" s="569"/>
      <c r="D75" s="569"/>
      <c r="E75" s="569"/>
      <c r="F75" s="570"/>
    </row>
    <row r="76" spans="2:6" ht="12" customHeight="1" thickBot="1">
      <c r="B76" s="571"/>
      <c r="C76" s="572"/>
      <c r="D76" s="572"/>
      <c r="E76" s="572"/>
      <c r="F76" s="573"/>
    </row>
  </sheetData>
  <sheetProtection algorithmName="SHA-512" hashValue="jeADDiEueecNM6qmeUdOiLIP/eOn+EOWryScK9e9cwWODuqRGvoCLUIO9fc4eO85N5oa6QPsvm6aA+EenRYnFw==" saltValue="QbENVZk1JYaxzVHDK7qZdw==" spinCount="100000" sheet="1"/>
  <mergeCells count="29">
    <mergeCell ref="B72:F72"/>
    <mergeCell ref="B73:F73"/>
    <mergeCell ref="B74:F74"/>
    <mergeCell ref="B75:F75"/>
    <mergeCell ref="B76:F76"/>
    <mergeCell ref="B71:F71"/>
    <mergeCell ref="B48:C48"/>
    <mergeCell ref="B49:C49"/>
    <mergeCell ref="B50:C50"/>
    <mergeCell ref="B51:C51"/>
    <mergeCell ref="B52:C52"/>
    <mergeCell ref="B65:F65"/>
    <mergeCell ref="B66:F66"/>
    <mergeCell ref="B67:F67"/>
    <mergeCell ref="B68:F68"/>
    <mergeCell ref="B69:F69"/>
    <mergeCell ref="B70:F70"/>
    <mergeCell ref="B47:C47"/>
    <mergeCell ref="B11:E11"/>
    <mergeCell ref="B31:C31"/>
    <mergeCell ref="B32:C32"/>
    <mergeCell ref="B33:C33"/>
    <mergeCell ref="B34:C34"/>
    <mergeCell ref="B35:C35"/>
    <mergeCell ref="B36:C36"/>
    <mergeCell ref="B37:C37"/>
    <mergeCell ref="B38:C38"/>
    <mergeCell ref="B45:C45"/>
    <mergeCell ref="B46:C46"/>
  </mergeCells>
  <conditionalFormatting sqref="B11">
    <cfRule type="cellIs" dxfId="9" priority="3" stopIfTrue="1" operator="equal">
      <formula>"Selecteer eerst hierboven uw systematiek voor de berekening van de subsidiabele kosten."</formula>
    </cfRule>
  </conditionalFormatting>
  <conditionalFormatting sqref="B30">
    <cfRule type="cellIs" dxfId="8" priority="5" stopIfTrue="1" operator="equal">
      <formula>"Kies eerst uw systematiek voor de berekening van de subsidiabele kosten"</formula>
    </cfRule>
  </conditionalFormatting>
  <conditionalFormatting sqref="B44">
    <cfRule type="cellIs" dxfId="7" priority="4" stopIfTrue="1" operator="equal">
      <formula>"Kies eerst uw systematiek voor de berekening van de subsidiabele kosten"</formula>
    </cfRule>
  </conditionalFormatting>
  <conditionalFormatting sqref="E25">
    <cfRule type="cellIs" dxfId="6" priority="2" stopIfTrue="1" operator="equal">
      <formula>"Opslag algemene kosten (50%)"</formula>
    </cfRule>
  </conditionalFormatting>
  <conditionalFormatting sqref="F62">
    <cfRule type="cellIs" dxfId="5" priority="1" operator="greaterThan">
      <formula>$F$59</formula>
    </cfRule>
  </conditionalFormatting>
  <dataValidations count="3">
    <dataValidation allowBlank="1" showErrorMessage="1" sqref="B31:C38 B45:C52" xr:uid="{EDF4E5F9-530F-48D9-8EF9-349536F8DED4}"/>
    <dataValidation type="list" allowBlank="1" showInputMessage="1" showErrorMessage="1" sqref="C7" xr:uid="{F368401B-A0C6-4ADE-87CC-7ACDA6D10175}">
      <formula1>Organisatiesoort</formula1>
    </dataValidation>
    <dataValidation type="list" allowBlank="1" showErrorMessage="1" errorTitle="Onjuiste invoer" error="Maak een keuze tussen de integrale kostensystematiek, de loonkosten plus vaste opslag-systematiek of de vaste uurtarief-systematiek." sqref="C9" xr:uid="{6B8B2B40-053C-437D-813B-2D92700C11D9}">
      <formula1>Kostensystematiek</formula1>
    </dataValidation>
  </dataValidations>
  <printOptions horizontalCentered="1"/>
  <pageMargins left="0.19685039370078741" right="0.19685039370078741" top="0.55118110236220474" bottom="0.39370078740157483" header="0" footer="0"/>
  <pageSetup paperSize="9" scale="81" orientation="portrait" r:id="rId1"/>
  <headerFooter alignWithMargins="0">
    <oddHeader>&amp;L&amp;F</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61EFE-A1B3-4F66-BE72-81E4DA5827CF}">
  <sheetPr transitionEvaluation="1">
    <tabColor rgb="FFFFFF00"/>
    <pageSetUpPr fitToPage="1"/>
  </sheetPr>
  <dimension ref="A1:G76"/>
  <sheetViews>
    <sheetView showGridLines="0" zoomScaleNormal="100" workbookViewId="0"/>
  </sheetViews>
  <sheetFormatPr defaultColWidth="10.875" defaultRowHeight="15.6" customHeight="1"/>
  <cols>
    <col min="1" max="1" width="3.625" customWidth="1"/>
    <col min="2" max="2" width="28.625" customWidth="1"/>
    <col min="3" max="3" width="41.125" customWidth="1"/>
    <col min="4" max="4" width="21.625" customWidth="1"/>
    <col min="5" max="5" width="23.375" customWidth="1"/>
    <col min="6" max="6" width="11" style="170" customWidth="1"/>
    <col min="7" max="10" width="10.875" customWidth="1"/>
  </cols>
  <sheetData>
    <row r="1" spans="1:7" ht="15.6" customHeight="1" thickBot="1">
      <c r="A1" s="47"/>
      <c r="B1" s="5"/>
      <c r="C1" s="5"/>
      <c r="D1" s="5"/>
      <c r="E1" s="33"/>
      <c r="F1" s="154"/>
    </row>
    <row r="2" spans="1:7" ht="12">
      <c r="A2" s="1"/>
      <c r="B2" s="69" t="s">
        <v>208</v>
      </c>
      <c r="C2" s="80"/>
      <c r="D2" s="2"/>
      <c r="E2" s="3"/>
      <c r="F2" s="155"/>
    </row>
    <row r="3" spans="1:7" ht="12">
      <c r="A3" s="6"/>
      <c r="B3" s="70" t="s">
        <v>210</v>
      </c>
      <c r="C3" s="74" t="str">
        <f>IF(projecttitel="","Vul dit in op tabblad 'Aanvrager 1'",projecttitel)</f>
        <v>Project X</v>
      </c>
      <c r="D3" s="7"/>
      <c r="E3" s="8"/>
      <c r="F3" s="155"/>
    </row>
    <row r="4" spans="1:7" ht="12">
      <c r="A4" s="6"/>
      <c r="B4" s="70" t="s">
        <v>212</v>
      </c>
      <c r="C4" s="74">
        <f>IF(project_startdatum=0,"Vul dit in op tabblad 'Aanvrager 1'",project_startdatum)</f>
        <v>45778</v>
      </c>
      <c r="D4" s="7"/>
      <c r="E4" s="8"/>
      <c r="F4" s="155"/>
    </row>
    <row r="5" spans="1:7" ht="12">
      <c r="A5" s="6"/>
      <c r="B5" s="70" t="s">
        <v>213</v>
      </c>
      <c r="C5" s="74">
        <f>IF(project_einddatum=0,"Vul dit in op tabblad 'Aanvrager 1'",project_einddatum)</f>
        <v>46752</v>
      </c>
      <c r="D5" s="48"/>
      <c r="E5" s="8"/>
      <c r="F5" s="155"/>
    </row>
    <row r="6" spans="1:7" ht="12">
      <c r="A6" s="6"/>
      <c r="B6" s="60"/>
      <c r="C6" s="37"/>
      <c r="D6" s="7"/>
      <c r="E6" s="8"/>
      <c r="F6" s="155"/>
    </row>
    <row r="7" spans="1:7" ht="12">
      <c r="A7" s="6"/>
      <c r="B7" s="65" t="s">
        <v>17</v>
      </c>
      <c r="C7" s="76" t="s">
        <v>233</v>
      </c>
      <c r="D7" s="23"/>
      <c r="E7" s="7"/>
      <c r="F7" s="155"/>
    </row>
    <row r="8" spans="1:7" ht="12">
      <c r="A8" s="6"/>
      <c r="B8" s="60"/>
      <c r="C8" s="78"/>
      <c r="D8" s="23"/>
      <c r="E8" s="7"/>
      <c r="F8" s="156"/>
    </row>
    <row r="9" spans="1:7" ht="12.75" thickBot="1">
      <c r="A9" s="6"/>
      <c r="B9" s="66" t="s">
        <v>218</v>
      </c>
      <c r="C9" s="77" t="s">
        <v>233</v>
      </c>
      <c r="D9" s="23"/>
      <c r="E9" s="7"/>
      <c r="F9" s="171"/>
      <c r="G9" s="75"/>
    </row>
    <row r="10" spans="1:7" ht="12.75" thickBot="1">
      <c r="A10" s="6"/>
      <c r="B10" s="9"/>
      <c r="C10" s="8"/>
      <c r="D10" s="7"/>
      <c r="E10" s="8"/>
      <c r="F10" s="155"/>
    </row>
    <row r="11" spans="1:7" ht="12">
      <c r="A11" s="6" t="s">
        <v>220</v>
      </c>
      <c r="B11" s="574" t="str">
        <f>IF(C9="[Maak een keuze]","Selecteer eerst hierboven uw systematiek voor de berekening van de subsidiabele kosten.",(IF(C9="Directe loonkosten plus vaste opslag-systematiek (50%)","Directe loonkosten",(IF(C9="integrale kostensystematiek","Directe en indirecte kosten op basis van integraal tarief","Directe en indirecte kosten op basis van vast tarief")))))</f>
        <v>Selecteer eerst hierboven uw systematiek voor de berekening van de subsidiabele kosten.</v>
      </c>
      <c r="C11" s="576"/>
      <c r="D11" s="576"/>
      <c r="E11" s="576"/>
      <c r="F11" s="157"/>
    </row>
    <row r="12" spans="1:7" ht="12">
      <c r="A12" s="6"/>
      <c r="B12" s="57"/>
      <c r="C12" s="2"/>
      <c r="D12" s="2"/>
      <c r="E12" s="10"/>
      <c r="F12" s="158"/>
    </row>
    <row r="13" spans="1:7" ht="12">
      <c r="A13" s="6"/>
      <c r="B13" s="58" t="s">
        <v>221</v>
      </c>
      <c r="C13" s="11" t="s">
        <v>294</v>
      </c>
      <c r="D13" s="4" t="s">
        <v>295</v>
      </c>
      <c r="E13" s="11" t="s">
        <v>296</v>
      </c>
      <c r="F13" s="158" t="s">
        <v>226</v>
      </c>
    </row>
    <row r="14" spans="1:7" ht="12">
      <c r="A14" s="1"/>
      <c r="B14" s="59"/>
      <c r="C14" s="53"/>
      <c r="D14" s="24"/>
      <c r="E14" s="12"/>
      <c r="F14" s="159">
        <f t="shared" ref="F14:F22" si="0">$D14*E14</f>
        <v>0</v>
      </c>
    </row>
    <row r="15" spans="1:7" ht="12">
      <c r="A15" s="1"/>
      <c r="B15" s="59"/>
      <c r="C15" s="53"/>
      <c r="D15" s="24"/>
      <c r="E15" s="12"/>
      <c r="F15" s="159">
        <f t="shared" si="0"/>
        <v>0</v>
      </c>
    </row>
    <row r="16" spans="1:7" ht="12">
      <c r="A16" s="1"/>
      <c r="B16" s="59"/>
      <c r="C16" s="53"/>
      <c r="D16" s="24"/>
      <c r="E16" s="12"/>
      <c r="F16" s="159">
        <f t="shared" si="0"/>
        <v>0</v>
      </c>
    </row>
    <row r="17" spans="1:6" ht="12">
      <c r="A17" s="1"/>
      <c r="B17" s="59"/>
      <c r="C17" s="53"/>
      <c r="D17" s="24"/>
      <c r="E17" s="12"/>
      <c r="F17" s="159">
        <f t="shared" si="0"/>
        <v>0</v>
      </c>
    </row>
    <row r="18" spans="1:6" ht="12">
      <c r="A18" s="1"/>
      <c r="B18" s="59"/>
      <c r="C18" s="53"/>
      <c r="D18" s="24"/>
      <c r="E18" s="12"/>
      <c r="F18" s="159">
        <f t="shared" si="0"/>
        <v>0</v>
      </c>
    </row>
    <row r="19" spans="1:6" ht="12">
      <c r="A19" s="1"/>
      <c r="B19" s="59"/>
      <c r="C19" s="53"/>
      <c r="D19" s="24"/>
      <c r="E19" s="12"/>
      <c r="F19" s="159">
        <f t="shared" si="0"/>
        <v>0</v>
      </c>
    </row>
    <row r="20" spans="1:6" ht="12">
      <c r="A20" s="1"/>
      <c r="B20" s="59"/>
      <c r="C20" s="53"/>
      <c r="D20" s="24"/>
      <c r="E20" s="12"/>
      <c r="F20" s="159">
        <f t="shared" si="0"/>
        <v>0</v>
      </c>
    </row>
    <row r="21" spans="1:6" ht="12">
      <c r="A21" s="1"/>
      <c r="B21" s="59"/>
      <c r="C21" s="53"/>
      <c r="D21" s="24"/>
      <c r="E21" s="12"/>
      <c r="F21" s="159">
        <f t="shared" si="0"/>
        <v>0</v>
      </c>
    </row>
    <row r="22" spans="1:6" ht="12">
      <c r="A22" s="1"/>
      <c r="B22" s="59"/>
      <c r="C22" s="53"/>
      <c r="D22" s="24"/>
      <c r="E22" s="12"/>
      <c r="F22" s="159">
        <f t="shared" si="0"/>
        <v>0</v>
      </c>
    </row>
    <row r="23" spans="1:6" ht="12">
      <c r="A23" s="6"/>
      <c r="B23" s="57"/>
      <c r="C23" s="2"/>
      <c r="D23" s="25"/>
      <c r="E23" s="26" t="s">
        <v>297</v>
      </c>
      <c r="F23" s="160">
        <f>SUM(F14:F22)</f>
        <v>0</v>
      </c>
    </row>
    <row r="24" spans="1:6" ht="12">
      <c r="A24" s="6"/>
      <c r="B24" s="60"/>
      <c r="C24" s="9"/>
      <c r="D24" s="27"/>
      <c r="E24" s="27"/>
      <c r="F24" s="161"/>
    </row>
    <row r="25" spans="1:6" ht="12.75" thickBot="1">
      <c r="A25" s="6"/>
      <c r="B25" s="60"/>
      <c r="C25" s="9"/>
      <c r="D25" s="2"/>
      <c r="E25" s="28" t="str">
        <f>IF(C9="Directe loonkosten plus vaste opslag-systematiek (50%)","Opslag algemene kosten (50%)","Geen opslag")</f>
        <v>Geen opslag</v>
      </c>
      <c r="F25" s="162">
        <f>IF($C9=Lijsten!$D$6,0,(IF($C9=Lijsten!$D$8,0,(IF($C9=Lijsten!$D$7,F23*0.5,"0")))))</f>
        <v>0</v>
      </c>
    </row>
    <row r="26" spans="1:6" ht="12.75" thickBot="1">
      <c r="A26" s="6"/>
      <c r="B26" s="61"/>
      <c r="C26" s="21"/>
      <c r="D26" s="29"/>
      <c r="E26" s="22" t="s">
        <v>237</v>
      </c>
      <c r="F26" s="163">
        <f>SUM(F14:F22,F25)</f>
        <v>0</v>
      </c>
    </row>
    <row r="27" spans="1:6" ht="12.75" thickBot="1">
      <c r="A27" s="2"/>
      <c r="B27" s="2"/>
      <c r="C27" s="2"/>
      <c r="D27" s="2"/>
      <c r="E27" s="2"/>
      <c r="F27" s="164"/>
    </row>
    <row r="28" spans="1:6" ht="12">
      <c r="A28" s="6" t="s">
        <v>238</v>
      </c>
      <c r="B28" s="62" t="s">
        <v>239</v>
      </c>
      <c r="C28" s="20"/>
      <c r="D28" s="20"/>
      <c r="E28" s="20"/>
      <c r="F28" s="157"/>
    </row>
    <row r="29" spans="1:6" ht="12">
      <c r="A29" s="6"/>
      <c r="B29" s="57"/>
      <c r="C29" s="2"/>
      <c r="D29" s="2"/>
      <c r="E29" s="10"/>
      <c r="F29" s="158"/>
    </row>
    <row r="30" spans="1:6" ht="12">
      <c r="A30" s="6"/>
      <c r="B30" s="58" t="s">
        <v>240</v>
      </c>
      <c r="C30" s="11"/>
      <c r="D30" s="11"/>
      <c r="F30" s="158" t="s">
        <v>241</v>
      </c>
    </row>
    <row r="31" spans="1:6" ht="12">
      <c r="A31" s="1"/>
      <c r="B31" s="586"/>
      <c r="C31" s="580"/>
      <c r="D31" s="30"/>
      <c r="E31" s="30"/>
      <c r="F31" s="165"/>
    </row>
    <row r="32" spans="1:6" ht="12">
      <c r="A32" s="1"/>
      <c r="B32" s="585"/>
      <c r="C32" s="578"/>
      <c r="D32" s="31"/>
      <c r="E32" s="31"/>
      <c r="F32" s="165"/>
    </row>
    <row r="33" spans="1:6" ht="12">
      <c r="A33" s="1"/>
      <c r="B33" s="585"/>
      <c r="C33" s="580"/>
      <c r="D33" s="31"/>
      <c r="E33" s="31"/>
      <c r="F33" s="165">
        <v>0</v>
      </c>
    </row>
    <row r="34" spans="1:6" ht="12">
      <c r="A34" s="1"/>
      <c r="B34" s="585"/>
      <c r="C34" s="580"/>
      <c r="D34" s="31"/>
      <c r="E34" s="31"/>
      <c r="F34" s="165">
        <v>0</v>
      </c>
    </row>
    <row r="35" spans="1:6" ht="12">
      <c r="A35" s="1"/>
      <c r="B35" s="585"/>
      <c r="C35" s="580"/>
      <c r="D35" s="31"/>
      <c r="E35" s="31"/>
      <c r="F35" s="165">
        <v>0</v>
      </c>
    </row>
    <row r="36" spans="1:6" ht="12">
      <c r="A36" s="1"/>
      <c r="B36" s="585"/>
      <c r="C36" s="580"/>
      <c r="D36" s="31"/>
      <c r="E36" s="31"/>
      <c r="F36" s="165">
        <v>0</v>
      </c>
    </row>
    <row r="37" spans="1:6" ht="12">
      <c r="A37" s="1"/>
      <c r="B37" s="585"/>
      <c r="C37" s="580"/>
      <c r="D37" s="31"/>
      <c r="E37" s="31"/>
      <c r="F37" s="165">
        <v>0</v>
      </c>
    </row>
    <row r="38" spans="1:6" ht="12">
      <c r="A38" s="1"/>
      <c r="B38" s="585"/>
      <c r="C38" s="580"/>
      <c r="D38" s="32"/>
      <c r="E38" s="32"/>
      <c r="F38" s="165">
        <v>0</v>
      </c>
    </row>
    <row r="39" spans="1:6" ht="12.75" thickBot="1">
      <c r="A39" s="1"/>
      <c r="B39" s="57"/>
      <c r="C39" s="2"/>
      <c r="D39" s="2"/>
      <c r="E39" s="13"/>
      <c r="F39" s="158"/>
    </row>
    <row r="40" spans="1:6" ht="12.75" thickBot="1">
      <c r="A40" s="6"/>
      <c r="B40" s="61"/>
      <c r="C40" s="21"/>
      <c r="D40" s="22"/>
      <c r="E40" s="22" t="s">
        <v>237</v>
      </c>
      <c r="F40" s="163">
        <f>SUM(F31:F38)</f>
        <v>0</v>
      </c>
    </row>
    <row r="41" spans="1:6" ht="12.75" thickBot="1">
      <c r="A41" s="2"/>
      <c r="B41" s="2"/>
      <c r="C41" s="2"/>
      <c r="D41" s="2"/>
      <c r="E41" s="2"/>
      <c r="F41" s="164"/>
    </row>
    <row r="42" spans="1:6" ht="12">
      <c r="A42" s="6">
        <v>3</v>
      </c>
      <c r="B42" s="62" t="s">
        <v>244</v>
      </c>
      <c r="C42" s="20"/>
      <c r="D42" s="20"/>
      <c r="E42" s="20"/>
      <c r="F42" s="157"/>
    </row>
    <row r="43" spans="1:6" ht="12">
      <c r="A43" s="6"/>
      <c r="B43" s="57"/>
      <c r="C43" s="2"/>
      <c r="D43" s="2"/>
      <c r="E43" s="10"/>
      <c r="F43" s="158"/>
    </row>
    <row r="44" spans="1:6" ht="12">
      <c r="A44" s="6"/>
      <c r="B44" s="58" t="s">
        <v>240</v>
      </c>
      <c r="C44" s="11"/>
      <c r="D44" s="11"/>
      <c r="F44" s="158" t="s">
        <v>241</v>
      </c>
    </row>
    <row r="45" spans="1:6" ht="12">
      <c r="A45" s="1"/>
      <c r="B45" s="586"/>
      <c r="C45" s="580"/>
      <c r="D45" s="30"/>
      <c r="E45" s="30"/>
      <c r="F45" s="165">
        <v>0</v>
      </c>
    </row>
    <row r="46" spans="1:6" ht="12">
      <c r="A46" s="1"/>
      <c r="B46" s="585"/>
      <c r="C46" s="578"/>
      <c r="D46" s="31"/>
      <c r="E46" s="31"/>
      <c r="F46" s="165">
        <v>0</v>
      </c>
    </row>
    <row r="47" spans="1:6" ht="12">
      <c r="A47" s="1"/>
      <c r="B47" s="585"/>
      <c r="C47" s="580"/>
      <c r="D47" s="31"/>
      <c r="E47" s="31"/>
      <c r="F47" s="165">
        <v>0</v>
      </c>
    </row>
    <row r="48" spans="1:6" ht="12">
      <c r="A48" s="1"/>
      <c r="B48" s="585"/>
      <c r="C48" s="580"/>
      <c r="D48" s="31"/>
      <c r="E48" s="31"/>
      <c r="F48" s="165">
        <v>0</v>
      </c>
    </row>
    <row r="49" spans="1:7" ht="12">
      <c r="A49" s="1"/>
      <c r="B49" s="585"/>
      <c r="C49" s="580"/>
      <c r="D49" s="31"/>
      <c r="E49" s="31"/>
      <c r="F49" s="165">
        <v>0</v>
      </c>
    </row>
    <row r="50" spans="1:7" ht="12">
      <c r="A50" s="1"/>
      <c r="B50" s="585"/>
      <c r="C50" s="580"/>
      <c r="D50" s="31"/>
      <c r="E50" s="31"/>
      <c r="F50" s="165">
        <v>0</v>
      </c>
    </row>
    <row r="51" spans="1:7" ht="12">
      <c r="A51" s="1"/>
      <c r="B51" s="585"/>
      <c r="C51" s="580"/>
      <c r="D51" s="31"/>
      <c r="E51" s="31"/>
      <c r="F51" s="165">
        <v>0</v>
      </c>
    </row>
    <row r="52" spans="1:7" ht="12">
      <c r="A52" s="1"/>
      <c r="B52" s="585"/>
      <c r="C52" s="580"/>
      <c r="D52" s="32"/>
      <c r="E52" s="32"/>
      <c r="F52" s="165">
        <v>0</v>
      </c>
    </row>
    <row r="53" spans="1:7" ht="12.75" thickBot="1">
      <c r="A53" s="1"/>
      <c r="B53" s="57"/>
      <c r="C53" s="2"/>
      <c r="D53" s="2"/>
      <c r="E53" s="13"/>
      <c r="F53" s="158"/>
    </row>
    <row r="54" spans="1:7" ht="12.75" thickBot="1">
      <c r="A54" s="6"/>
      <c r="B54" s="61"/>
      <c r="C54" s="21"/>
      <c r="D54" s="21"/>
      <c r="E54" s="22" t="s">
        <v>237</v>
      </c>
      <c r="F54" s="163">
        <f>SUM(F45:F52)</f>
        <v>0</v>
      </c>
    </row>
    <row r="55" spans="1:7" ht="12.75" thickBot="1">
      <c r="A55" s="2"/>
      <c r="B55" s="2"/>
      <c r="C55" s="2"/>
      <c r="D55" s="2"/>
      <c r="E55" s="34"/>
      <c r="F55" s="164"/>
    </row>
    <row r="56" spans="1:7" ht="13.5" thickBot="1">
      <c r="A56" s="6"/>
      <c r="B56" s="18" t="s">
        <v>248</v>
      </c>
      <c r="C56" s="18"/>
      <c r="D56" s="18"/>
      <c r="E56" s="19" t="s">
        <v>237</v>
      </c>
      <c r="F56" s="166">
        <f>IF(C9=Lijsten!A5,0,SUM(F26+F40+F54))</f>
        <v>0</v>
      </c>
      <c r="G56" s="138" t="str">
        <f>IF(AND(SUM(F26,F40,F54)&gt;0,F56=0)," &lt;-- Het totale bedrag wordt (nog) niet bepaald, omdat u boven aan dit blad nog geen loonkosten systematiek heeft gekozen","")</f>
        <v/>
      </c>
    </row>
    <row r="57" spans="1:7" ht="12.75" thickBot="1">
      <c r="A57" s="6"/>
      <c r="B57" s="9"/>
      <c r="C57" s="9"/>
      <c r="D57" s="9"/>
      <c r="E57" s="34"/>
      <c r="F57" s="164"/>
      <c r="G57" s="139"/>
    </row>
    <row r="58" spans="1:7" ht="12.75">
      <c r="A58" s="6"/>
      <c r="B58" s="63" t="s">
        <v>249</v>
      </c>
      <c r="C58" s="54"/>
      <c r="D58" s="54"/>
      <c r="E58" s="64"/>
      <c r="F58" s="233" t="e" vm="1">
        <f>VLOOKUP(C7,Lijsten!$A$5:$B$10,2,0)</f>
        <v>#VALUE!</v>
      </c>
      <c r="G58" s="138" t="e" vm="2">
        <f>IF(AND($F$56&gt;0,F58=0)," &lt;-- Let op: Bovenaan dit blad is nog geen organisatiesoort geselecteerd.","")</f>
        <v>#VALUE!</v>
      </c>
    </row>
    <row r="59" spans="1:7" ht="12.75">
      <c r="A59" s="6"/>
      <c r="B59" s="65" t="s">
        <v>250</v>
      </c>
      <c r="E59" s="55" t="e" vm="2">
        <f>IF(F58*F56&gt;50000,"Maximale subsidie is begrensd op 50.000 euro","")</f>
        <v>#VALUE!</v>
      </c>
      <c r="F59" s="175" t="e" vm="2">
        <f>IF(F58*F56&gt;50000,50000,F58*F56)</f>
        <v>#VALUE!</v>
      </c>
      <c r="G59" s="138"/>
    </row>
    <row r="60" spans="1:7" ht="12.75">
      <c r="A60" s="6"/>
      <c r="B60" s="65" t="s">
        <v>251</v>
      </c>
      <c r="D60" s="55"/>
      <c r="E60" s="34"/>
      <c r="F60" s="167">
        <v>0</v>
      </c>
      <c r="G60" s="138"/>
    </row>
    <row r="61" spans="1:7" ht="12.75">
      <c r="A61" s="6"/>
      <c r="B61" s="65" t="s">
        <v>252</v>
      </c>
      <c r="D61" s="55"/>
      <c r="E61" s="34"/>
      <c r="F61" s="175" t="e" vm="2">
        <f>F59-F60</f>
        <v>#VALUE!</v>
      </c>
      <c r="G61" s="138"/>
    </row>
    <row r="62" spans="1:7" ht="13.5" thickBot="1">
      <c r="A62" s="6"/>
      <c r="B62" s="66" t="s">
        <v>253</v>
      </c>
      <c r="C62" s="67"/>
      <c r="D62" s="56"/>
      <c r="E62" s="56"/>
      <c r="F62" s="168">
        <v>0</v>
      </c>
      <c r="G62" s="138" t="e" vm="2">
        <f>IF(AND(F59&lt;&gt;0,F62&lt;0.1)," &lt;-- Vul de gevraagde subsidie in.",IF(F62&gt;F61," &lt;-- De gevraagde subsidie is hoger dan de maximale subsidie.",""))</f>
        <v>#VALUE!</v>
      </c>
    </row>
    <row r="63" spans="1:7" ht="12.75" thickBot="1">
      <c r="A63" s="2"/>
      <c r="B63" s="2"/>
      <c r="C63" s="2"/>
      <c r="D63" s="2"/>
      <c r="E63" s="2"/>
      <c r="F63" s="164"/>
    </row>
    <row r="64" spans="1:7" ht="13.5" thickBot="1">
      <c r="A64" s="2"/>
      <c r="B64" s="35" t="s">
        <v>254</v>
      </c>
      <c r="C64" s="36"/>
      <c r="D64" s="36"/>
      <c r="E64" s="36"/>
      <c r="F64" s="169"/>
    </row>
    <row r="65" spans="2:6" ht="12" customHeight="1">
      <c r="B65" s="565"/>
      <c r="C65" s="566"/>
      <c r="D65" s="566"/>
      <c r="E65" s="566"/>
      <c r="F65" s="567"/>
    </row>
    <row r="66" spans="2:6" ht="12" customHeight="1">
      <c r="B66" s="565"/>
      <c r="C66" s="566"/>
      <c r="D66" s="566"/>
      <c r="E66" s="566"/>
      <c r="F66" s="567"/>
    </row>
    <row r="67" spans="2:6" ht="12" customHeight="1">
      <c r="B67" s="565"/>
      <c r="C67" s="566"/>
      <c r="D67" s="566"/>
      <c r="E67" s="566"/>
      <c r="F67" s="567"/>
    </row>
    <row r="68" spans="2:6" ht="12" customHeight="1">
      <c r="B68" s="565"/>
      <c r="C68" s="566"/>
      <c r="D68" s="566"/>
      <c r="E68" s="566"/>
      <c r="F68" s="567"/>
    </row>
    <row r="69" spans="2:6" ht="12" customHeight="1">
      <c r="B69" s="565"/>
      <c r="C69" s="566"/>
      <c r="D69" s="566"/>
      <c r="E69" s="566"/>
      <c r="F69" s="567"/>
    </row>
    <row r="70" spans="2:6" ht="12" customHeight="1">
      <c r="B70" s="565"/>
      <c r="C70" s="566"/>
      <c r="D70" s="566"/>
      <c r="E70" s="566"/>
      <c r="F70" s="567"/>
    </row>
    <row r="71" spans="2:6" ht="12" customHeight="1">
      <c r="B71" s="565"/>
      <c r="C71" s="566"/>
      <c r="D71" s="566"/>
      <c r="E71" s="566"/>
      <c r="F71" s="567"/>
    </row>
    <row r="72" spans="2:6" ht="12" customHeight="1">
      <c r="B72" s="565"/>
      <c r="C72" s="566"/>
      <c r="D72" s="566"/>
      <c r="E72" s="566"/>
      <c r="F72" s="567"/>
    </row>
    <row r="73" spans="2:6" ht="12" customHeight="1">
      <c r="B73" s="565"/>
      <c r="C73" s="566"/>
      <c r="D73" s="566"/>
      <c r="E73" s="566"/>
      <c r="F73" s="567"/>
    </row>
    <row r="74" spans="2:6" ht="12" customHeight="1">
      <c r="B74" s="565"/>
      <c r="C74" s="566"/>
      <c r="D74" s="566"/>
      <c r="E74" s="566"/>
      <c r="F74" s="567"/>
    </row>
    <row r="75" spans="2:6" ht="12" customHeight="1">
      <c r="B75" s="568"/>
      <c r="C75" s="569"/>
      <c r="D75" s="569"/>
      <c r="E75" s="569"/>
      <c r="F75" s="570"/>
    </row>
    <row r="76" spans="2:6" ht="12" customHeight="1" thickBot="1">
      <c r="B76" s="571"/>
      <c r="C76" s="572"/>
      <c r="D76" s="572"/>
      <c r="E76" s="572"/>
      <c r="F76" s="573"/>
    </row>
  </sheetData>
  <sheetProtection selectLockedCells="1"/>
  <mergeCells count="29">
    <mergeCell ref="B72:F72"/>
    <mergeCell ref="B73:F73"/>
    <mergeCell ref="B74:F74"/>
    <mergeCell ref="B75:F75"/>
    <mergeCell ref="B76:F76"/>
    <mergeCell ref="B71:F71"/>
    <mergeCell ref="B48:C48"/>
    <mergeCell ref="B49:C49"/>
    <mergeCell ref="B50:C50"/>
    <mergeCell ref="B51:C51"/>
    <mergeCell ref="B52:C52"/>
    <mergeCell ref="B65:F65"/>
    <mergeCell ref="B66:F66"/>
    <mergeCell ref="B67:F67"/>
    <mergeCell ref="B68:F68"/>
    <mergeCell ref="B69:F69"/>
    <mergeCell ref="B70:F70"/>
    <mergeCell ref="B47:C47"/>
    <mergeCell ref="B11:E11"/>
    <mergeCell ref="B31:C31"/>
    <mergeCell ref="B32:C32"/>
    <mergeCell ref="B33:C33"/>
    <mergeCell ref="B34:C34"/>
    <mergeCell ref="B35:C35"/>
    <mergeCell ref="B36:C36"/>
    <mergeCell ref="B37:C37"/>
    <mergeCell ref="B38:C38"/>
    <mergeCell ref="B45:C45"/>
    <mergeCell ref="B46:C46"/>
  </mergeCells>
  <conditionalFormatting sqref="B11">
    <cfRule type="cellIs" dxfId="4" priority="3" stopIfTrue="1" operator="equal">
      <formula>"Selecteer eerst hierboven uw systematiek voor de berekening van de subsidiabele kosten."</formula>
    </cfRule>
  </conditionalFormatting>
  <conditionalFormatting sqref="B30">
    <cfRule type="cellIs" dxfId="3" priority="5" stopIfTrue="1" operator="equal">
      <formula>"Kies eerst uw systematiek voor de berekening van de subsidiabele kosten"</formula>
    </cfRule>
  </conditionalFormatting>
  <conditionalFormatting sqref="B44">
    <cfRule type="cellIs" dxfId="2" priority="4" stopIfTrue="1" operator="equal">
      <formula>"Kies eerst uw systematiek voor de berekening van de subsidiabele kosten"</formula>
    </cfRule>
  </conditionalFormatting>
  <conditionalFormatting sqref="E25">
    <cfRule type="cellIs" dxfId="1" priority="2" stopIfTrue="1" operator="equal">
      <formula>"Opslag algemene kosten (50%)"</formula>
    </cfRule>
  </conditionalFormatting>
  <conditionalFormatting sqref="F62">
    <cfRule type="cellIs" dxfId="0" priority="1" operator="greaterThan">
      <formula>$F$59</formula>
    </cfRule>
  </conditionalFormatting>
  <dataValidations count="3">
    <dataValidation allowBlank="1" showErrorMessage="1" sqref="B31:C38 B45:C52" xr:uid="{7CADE94A-46C5-4996-BAE8-E2325C4C0FF6}"/>
    <dataValidation type="list" allowBlank="1" showInputMessage="1" showErrorMessage="1" sqref="C7" xr:uid="{75F559F1-9F7F-438A-A13B-3D007C2AA317}">
      <formula1>Organisatiesoort</formula1>
    </dataValidation>
    <dataValidation type="list" allowBlank="1" showErrorMessage="1" errorTitle="Onjuiste invoer" error="Maak een keuze tussen de integrale kostensystematiek, de loonkosten plus vaste opslag-systematiek of de vaste uurtarief-systematiek." sqref="C9" xr:uid="{33EE8913-A65E-407C-BC80-9483C72FC066}">
      <formula1>Kostensystematiek</formula1>
    </dataValidation>
  </dataValidations>
  <printOptions horizontalCentered="1"/>
  <pageMargins left="0.19685039370078741" right="0.19685039370078741" top="0.55118110236220474" bottom="0.39370078740157483" header="0" footer="0"/>
  <pageSetup paperSize="9" scale="81" orientation="portrait" r:id="rId1"/>
  <headerFooter alignWithMargins="0">
    <oddHeader>&amp;L&amp;F</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4E2FB-70AF-494D-955D-ABBFFE0B8D8E}">
  <sheetPr>
    <tabColor rgb="FFFFFF00"/>
  </sheetPr>
  <dimension ref="B1:AH128"/>
  <sheetViews>
    <sheetView showGridLines="0" zoomScale="89" zoomScaleNormal="89" workbookViewId="0">
      <selection activeCell="AB71" sqref="AB71"/>
    </sheetView>
  </sheetViews>
  <sheetFormatPr defaultColWidth="8.875" defaultRowHeight="12" outlineLevelRow="1"/>
  <cols>
    <col min="1" max="1" width="2.125" customWidth="1"/>
    <col min="2" max="2" width="33.875" customWidth="1"/>
    <col min="3" max="3" width="15.625" customWidth="1"/>
    <col min="4" max="4" width="11" customWidth="1"/>
    <col min="5" max="5" width="10.625" customWidth="1"/>
    <col min="6" max="6" width="16.375" customWidth="1"/>
    <col min="7" max="7" width="12.5" customWidth="1"/>
    <col min="8" max="8" width="11" hidden="1" customWidth="1"/>
    <col min="9" max="14" width="11" customWidth="1"/>
    <col min="15" max="16" width="10.125" customWidth="1"/>
    <col min="17" max="17" width="11" customWidth="1"/>
    <col min="18" max="27" width="10.125" customWidth="1"/>
    <col min="28" max="28" width="11.5" customWidth="1"/>
    <col min="29" max="34" width="10.125" customWidth="1"/>
    <col min="35" max="35" width="14.5" customWidth="1"/>
  </cols>
  <sheetData>
    <row r="1" spans="2:34" ht="18">
      <c r="B1" s="234" t="s">
        <v>298</v>
      </c>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6"/>
    </row>
    <row r="2" spans="2:34" ht="12.75">
      <c r="B2" s="237" t="s">
        <v>299</v>
      </c>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9"/>
    </row>
    <row r="3" spans="2:34" ht="12.75">
      <c r="B3" s="237" t="s">
        <v>300</v>
      </c>
      <c r="C3" s="238">
        <f>'Serial adaptation'!projecttitel</f>
        <v>0</v>
      </c>
      <c r="D3" s="238"/>
      <c r="E3" s="238"/>
      <c r="F3" s="238"/>
      <c r="G3" s="238"/>
      <c r="H3" s="238"/>
      <c r="I3" s="238"/>
      <c r="J3" s="436" t="s">
        <v>301</v>
      </c>
      <c r="K3" s="436"/>
      <c r="L3" s="238"/>
      <c r="M3" s="238"/>
      <c r="N3" s="238"/>
      <c r="O3" s="238"/>
      <c r="P3" s="238"/>
      <c r="Q3" s="238"/>
      <c r="R3" s="238"/>
      <c r="S3" s="238"/>
      <c r="T3" s="238"/>
      <c r="U3" s="238"/>
      <c r="V3" s="238"/>
      <c r="W3" s="238"/>
      <c r="X3" s="238"/>
      <c r="Y3" s="238"/>
      <c r="Z3" s="238"/>
      <c r="AA3" s="238"/>
      <c r="AB3" s="238"/>
      <c r="AC3" s="238"/>
      <c r="AD3" s="238"/>
      <c r="AE3" s="238"/>
      <c r="AF3" s="238"/>
      <c r="AG3" s="238"/>
      <c r="AH3" s="239"/>
    </row>
    <row r="4" spans="2:34" ht="12.75">
      <c r="B4" s="237" t="s">
        <v>302</v>
      </c>
      <c r="C4" s="238" t="str">
        <f>'Serial adaptation'!E8</f>
        <v>Serial adaption</v>
      </c>
      <c r="D4" s="238"/>
      <c r="E4" s="238"/>
      <c r="F4" s="241" t="s">
        <v>303</v>
      </c>
      <c r="G4" s="238" t="str">
        <f>IF(_xlfn.DAYS($G$5,$C$5)/365&gt;1,"longer than 1 year","shorter than 1 year, the advance payment of 95% you will receive at the granting")</f>
        <v>shorter than 1 year, the advance payment of 95% you will receive at the granting</v>
      </c>
      <c r="H4" s="238"/>
      <c r="I4" s="238"/>
      <c r="J4" s="397" t="s">
        <v>304</v>
      </c>
      <c r="K4" s="397" t="s">
        <v>305</v>
      </c>
      <c r="L4" s="238"/>
      <c r="M4" s="238"/>
      <c r="N4" s="238"/>
      <c r="O4" s="238"/>
      <c r="P4" s="241"/>
      <c r="Q4" s="238"/>
      <c r="R4" s="238"/>
      <c r="S4" s="238"/>
      <c r="T4" s="238"/>
      <c r="U4" s="238"/>
      <c r="V4" s="238"/>
      <c r="W4" s="238"/>
      <c r="X4" s="238"/>
      <c r="Y4" s="238"/>
      <c r="Z4" s="238"/>
      <c r="AA4" s="238"/>
      <c r="AB4" s="238"/>
      <c r="AC4" s="238"/>
      <c r="AD4" s="238"/>
      <c r="AE4" s="238"/>
      <c r="AF4" s="238"/>
      <c r="AG4" s="238"/>
      <c r="AH4" s="239"/>
    </row>
    <row r="5" spans="2:34" ht="12.75">
      <c r="B5" s="237" t="s">
        <v>306</v>
      </c>
      <c r="C5" s="274">
        <f>'Serial adaptation'!project_startdatum</f>
        <v>0</v>
      </c>
      <c r="D5" s="274"/>
      <c r="E5" s="274"/>
      <c r="F5" s="241" t="s">
        <v>307</v>
      </c>
      <c r="G5" s="274">
        <f>'Serial adaptation'!project_einddatum</f>
        <v>0</v>
      </c>
      <c r="H5" s="274"/>
      <c r="I5" s="274"/>
      <c r="J5" s="398">
        <v>1</v>
      </c>
      <c r="K5" s="399">
        <v>45658</v>
      </c>
      <c r="L5" s="274"/>
      <c r="M5" s="274"/>
      <c r="N5" s="274"/>
      <c r="O5" s="238"/>
      <c r="P5" s="241"/>
      <c r="Q5" s="274"/>
      <c r="R5" s="238"/>
      <c r="S5" s="238"/>
      <c r="T5" s="238"/>
      <c r="U5" s="238"/>
      <c r="V5" s="238"/>
      <c r="W5" s="238"/>
      <c r="X5" s="238"/>
      <c r="Y5" s="238"/>
      <c r="Z5" s="238"/>
      <c r="AA5" s="238"/>
      <c r="AB5" s="238"/>
      <c r="AC5" s="238"/>
      <c r="AD5" s="238"/>
      <c r="AE5" s="238"/>
      <c r="AF5" s="238"/>
      <c r="AG5" s="238"/>
      <c r="AH5" s="239"/>
    </row>
    <row r="6" spans="2:34" ht="12.75" customHeight="1">
      <c r="B6" s="240" t="s">
        <v>308</v>
      </c>
      <c r="C6" s="435">
        <f>SUMIF('Total budget'!E10:E14,Lijsten!A15,totaalbegroting_projectkosten)</f>
        <v>0</v>
      </c>
      <c r="D6" s="275"/>
      <c r="E6" s="275"/>
      <c r="F6" s="275"/>
      <c r="G6" s="275"/>
      <c r="H6" s="275"/>
      <c r="I6" s="275"/>
      <c r="J6" s="398">
        <v>2</v>
      </c>
      <c r="K6" s="399">
        <v>45748</v>
      </c>
      <c r="L6" s="275"/>
      <c r="M6" s="275"/>
      <c r="N6" s="275"/>
      <c r="O6" s="238"/>
      <c r="P6" s="238"/>
      <c r="Q6" s="238"/>
      <c r="R6" s="238"/>
      <c r="S6" s="238"/>
      <c r="T6" s="238"/>
      <c r="U6" s="238"/>
      <c r="V6" s="238"/>
      <c r="W6" s="238"/>
      <c r="X6" s="238"/>
      <c r="Y6" s="238"/>
      <c r="Z6" s="238"/>
      <c r="AA6" s="238"/>
      <c r="AB6" s="238"/>
      <c r="AC6" s="238"/>
      <c r="AD6" s="238"/>
      <c r="AE6" s="238"/>
      <c r="AF6" s="238"/>
      <c r="AG6" s="238"/>
      <c r="AH6" s="239"/>
    </row>
    <row r="7" spans="2:34" ht="12.75" customHeight="1">
      <c r="B7" s="240" t="s">
        <v>309</v>
      </c>
      <c r="C7" s="435">
        <f>SUMIF('Total budget'!E10:E11,"Serial adaption",'Total budget'!N10:N11)</f>
        <v>0</v>
      </c>
      <c r="D7" s="275"/>
      <c r="E7" s="238"/>
      <c r="F7" s="509" t="s">
        <v>310</v>
      </c>
      <c r="G7" s="435">
        <f>C7*C74</f>
        <v>0</v>
      </c>
      <c r="H7" s="275"/>
      <c r="I7" s="275"/>
      <c r="J7" s="398">
        <v>3</v>
      </c>
      <c r="K7" s="399">
        <v>45839</v>
      </c>
      <c r="L7" s="275"/>
      <c r="M7" s="275"/>
      <c r="N7" s="275"/>
      <c r="O7" s="238"/>
      <c r="P7" s="238"/>
      <c r="Q7" s="595"/>
      <c r="R7" s="595"/>
      <c r="S7" s="238"/>
      <c r="T7" s="238"/>
      <c r="U7" s="238"/>
      <c r="V7" s="238"/>
      <c r="W7" s="238"/>
      <c r="X7" s="238"/>
      <c r="Y7" s="238"/>
      <c r="Z7" s="238"/>
      <c r="AA7" s="238"/>
      <c r="AB7" s="238"/>
      <c r="AC7" s="238"/>
      <c r="AD7" s="238"/>
      <c r="AE7" s="238"/>
      <c r="AF7" s="238"/>
      <c r="AG7" s="238"/>
      <c r="AH7" s="239"/>
    </row>
    <row r="8" spans="2:34" ht="12.75" customHeight="1">
      <c r="B8" s="360" t="s">
        <v>190</v>
      </c>
      <c r="C8" s="361">
        <f>SUMIF('Total budget'!E10:E11,"Serial adaption",'Total budget'!P10:P11)</f>
        <v>0</v>
      </c>
      <c r="D8" s="361"/>
      <c r="E8" s="361"/>
      <c r="F8" s="361"/>
      <c r="G8" s="361"/>
      <c r="H8" s="361"/>
      <c r="I8" s="361"/>
      <c r="J8" s="398">
        <v>4</v>
      </c>
      <c r="K8" s="399">
        <v>45931</v>
      </c>
      <c r="L8" s="361"/>
      <c r="M8" s="361"/>
      <c r="N8" s="361"/>
      <c r="O8" s="238"/>
      <c r="P8" s="238"/>
      <c r="Q8" s="325"/>
      <c r="R8" s="325"/>
      <c r="S8" s="238"/>
      <c r="T8" s="238"/>
      <c r="U8" s="238"/>
      <c r="V8" s="238"/>
      <c r="W8" s="238"/>
      <c r="X8" s="238"/>
      <c r="Y8" s="238"/>
      <c r="Z8" s="238"/>
      <c r="AA8" s="238"/>
      <c r="AB8" s="238"/>
      <c r="AC8" s="238"/>
      <c r="AD8" s="238"/>
      <c r="AE8" s="238"/>
      <c r="AF8" s="238"/>
      <c r="AG8" s="238"/>
      <c r="AH8" s="238"/>
    </row>
    <row r="10" spans="2:34" ht="12.75">
      <c r="B10" s="490" t="s">
        <v>311</v>
      </c>
      <c r="C10" s="396"/>
      <c r="D10" s="396"/>
      <c r="E10" s="396"/>
      <c r="F10" s="396"/>
      <c r="G10" s="396"/>
      <c r="H10" s="396"/>
      <c r="I10" s="396"/>
      <c r="L10" s="396"/>
      <c r="M10" s="396"/>
      <c r="N10" s="396"/>
      <c r="O10" s="396"/>
      <c r="P10" s="396"/>
      <c r="Q10" s="396"/>
      <c r="R10" s="396"/>
      <c r="S10" s="396"/>
      <c r="T10" s="396"/>
      <c r="U10" s="396"/>
      <c r="V10" s="396"/>
      <c r="W10" s="396"/>
      <c r="X10" s="396"/>
      <c r="Y10" s="396"/>
      <c r="Z10" s="396"/>
      <c r="AA10" s="396"/>
      <c r="AB10" s="396"/>
      <c r="AC10" s="396"/>
      <c r="AD10" s="396"/>
      <c r="AE10" s="396"/>
      <c r="AF10" s="396"/>
      <c r="AG10" s="396"/>
      <c r="AH10" s="396"/>
    </row>
    <row r="11" spans="2:34">
      <c r="B11" s="489" t="s">
        <v>312</v>
      </c>
      <c r="C11" s="396"/>
      <c r="D11" s="396"/>
      <c r="E11" s="396"/>
      <c r="F11" s="396"/>
      <c r="G11" s="396"/>
      <c r="H11" s="396"/>
      <c r="I11" s="396"/>
      <c r="L11" s="396"/>
      <c r="M11" s="396"/>
      <c r="N11" s="396"/>
      <c r="O11" s="396"/>
      <c r="P11" s="396"/>
      <c r="Q11" s="396"/>
      <c r="R11" s="396"/>
      <c r="S11" s="396"/>
      <c r="T11" s="396"/>
      <c r="U11" s="396"/>
      <c r="V11" s="396"/>
      <c r="W11" s="396"/>
      <c r="X11" s="396"/>
      <c r="Y11" s="396"/>
      <c r="Z11" s="396"/>
      <c r="AA11" s="396"/>
      <c r="AB11" s="396"/>
      <c r="AC11" s="396"/>
      <c r="AD11" s="396"/>
      <c r="AE11" s="396"/>
      <c r="AF11" s="396"/>
      <c r="AG11" s="396"/>
      <c r="AH11" s="396"/>
    </row>
    <row r="12" spans="2:34">
      <c r="B12" s="396"/>
      <c r="C12" s="396"/>
      <c r="D12" s="396"/>
      <c r="E12" s="396"/>
      <c r="F12" s="396"/>
      <c r="G12" s="396"/>
      <c r="H12" s="396"/>
      <c r="I12" s="396"/>
      <c r="L12" s="396"/>
      <c r="M12" s="396"/>
      <c r="N12" s="396"/>
      <c r="O12" s="396"/>
      <c r="P12" s="396"/>
      <c r="Q12" s="396"/>
      <c r="R12" s="396"/>
      <c r="S12" s="396"/>
      <c r="T12" s="396"/>
      <c r="U12" s="396"/>
      <c r="V12" s="396"/>
      <c r="W12" s="396"/>
      <c r="X12" s="396"/>
      <c r="Y12" s="396"/>
      <c r="Z12" s="396"/>
      <c r="AA12" s="396"/>
      <c r="AB12" s="396"/>
      <c r="AC12" s="396"/>
      <c r="AD12" s="396"/>
      <c r="AE12" s="396"/>
      <c r="AF12" s="396"/>
      <c r="AG12" s="396"/>
      <c r="AH12" s="396"/>
    </row>
    <row r="13" spans="2:34" hidden="1">
      <c r="B13" s="396"/>
      <c r="C13" s="396"/>
      <c r="D13" s="396"/>
      <c r="E13" s="396"/>
      <c r="F13" s="396"/>
      <c r="G13" s="396"/>
      <c r="H13" s="396"/>
      <c r="I13" s="396"/>
      <c r="L13" s="396"/>
      <c r="M13" s="396"/>
      <c r="N13" s="396"/>
      <c r="O13" s="396"/>
      <c r="P13" s="396"/>
      <c r="Q13" s="396"/>
      <c r="R13" s="396"/>
      <c r="S13" s="396"/>
      <c r="T13" s="396"/>
      <c r="U13" s="396"/>
      <c r="V13" s="396"/>
      <c r="W13" s="396"/>
      <c r="X13" s="396"/>
      <c r="Y13" s="396"/>
      <c r="Z13" s="396"/>
      <c r="AA13" s="396"/>
      <c r="AB13" s="396"/>
      <c r="AC13" s="396"/>
      <c r="AD13" s="396"/>
      <c r="AE13" s="396"/>
      <c r="AF13" s="396"/>
      <c r="AG13" s="396"/>
      <c r="AH13" s="396"/>
    </row>
    <row r="14" spans="2:34" hidden="1">
      <c r="B14" s="396" t="s">
        <v>313</v>
      </c>
      <c r="C14" s="437">
        <f>'Serial adaptation'!project_startdatum</f>
        <v>0</v>
      </c>
      <c r="D14" s="396"/>
      <c r="E14" s="396"/>
      <c r="F14" s="396"/>
      <c r="G14" s="396"/>
      <c r="H14" s="396"/>
      <c r="I14" s="396"/>
      <c r="L14" s="396"/>
      <c r="M14" s="396"/>
      <c r="N14" s="396"/>
      <c r="O14" s="396"/>
      <c r="P14" s="396"/>
      <c r="Q14" s="396"/>
      <c r="R14" s="396"/>
      <c r="S14" s="396"/>
      <c r="T14" s="396"/>
      <c r="U14" s="396"/>
      <c r="V14" s="396"/>
      <c r="W14" s="396"/>
      <c r="X14" s="396"/>
      <c r="Y14" s="396"/>
      <c r="Z14" s="396"/>
      <c r="AA14" s="396"/>
      <c r="AB14" s="396"/>
      <c r="AC14" s="396"/>
      <c r="AD14" s="396"/>
      <c r="AE14" s="396"/>
      <c r="AF14" s="396"/>
      <c r="AG14" s="396"/>
      <c r="AH14" s="396"/>
    </row>
    <row r="15" spans="2:34" hidden="1">
      <c r="B15" s="396" t="s">
        <v>314</v>
      </c>
      <c r="C15" s="396">
        <f>12-(MONTH(C14)-1)</f>
        <v>12</v>
      </c>
      <c r="D15" s="396"/>
      <c r="E15" s="396"/>
      <c r="F15" s="396"/>
      <c r="G15" s="396"/>
      <c r="H15" s="396"/>
      <c r="I15" s="396"/>
      <c r="J15" s="396"/>
      <c r="K15" s="396"/>
      <c r="L15" s="396"/>
      <c r="M15" s="396"/>
      <c r="N15" s="396"/>
      <c r="O15" s="396"/>
      <c r="P15" s="396"/>
      <c r="Q15" s="396"/>
      <c r="R15" s="396"/>
      <c r="S15" s="396"/>
      <c r="T15" s="396"/>
      <c r="U15" s="396"/>
      <c r="V15" s="396"/>
      <c r="W15" s="396"/>
      <c r="X15" s="396"/>
      <c r="Y15" s="396"/>
      <c r="Z15" s="396"/>
      <c r="AA15" s="396"/>
      <c r="AB15" s="396"/>
      <c r="AC15" s="396"/>
      <c r="AD15" s="396"/>
      <c r="AE15" s="396"/>
      <c r="AF15" s="396"/>
      <c r="AG15" s="396"/>
      <c r="AH15" s="396"/>
    </row>
    <row r="16" spans="2:34" hidden="1">
      <c r="B16" s="396" t="s">
        <v>315</v>
      </c>
      <c r="C16" s="396">
        <f>CEILING(C15/3,1)</f>
        <v>4</v>
      </c>
      <c r="D16" s="396"/>
      <c r="E16" s="396"/>
      <c r="F16" s="396"/>
      <c r="G16" s="396"/>
      <c r="H16" s="396"/>
      <c r="I16" s="396"/>
      <c r="J16" s="396"/>
      <c r="K16" s="396"/>
      <c r="L16" s="396"/>
      <c r="M16" s="396"/>
      <c r="N16" s="396"/>
      <c r="O16" s="396"/>
      <c r="P16" s="396"/>
      <c r="Q16" s="396"/>
      <c r="R16" s="396"/>
      <c r="S16" s="396"/>
      <c r="T16" s="396"/>
      <c r="U16" s="396"/>
      <c r="V16" s="396"/>
      <c r="W16" s="396"/>
      <c r="X16" s="396"/>
      <c r="Y16" s="396"/>
      <c r="Z16" s="396"/>
      <c r="AA16" s="396"/>
      <c r="AB16" s="396"/>
      <c r="AC16" s="396"/>
      <c r="AD16" s="396"/>
      <c r="AE16" s="396"/>
      <c r="AF16" s="396"/>
      <c r="AG16" s="396"/>
      <c r="AH16" s="396"/>
    </row>
    <row r="17" spans="2:34" hidden="1">
      <c r="B17" s="396"/>
      <c r="C17" s="396"/>
      <c r="D17" s="396"/>
      <c r="E17" s="396"/>
      <c r="F17" s="396"/>
      <c r="G17" s="396"/>
      <c r="H17" s="396"/>
      <c r="I17" s="396"/>
      <c r="J17" s="396"/>
      <c r="K17" s="396"/>
      <c r="L17" s="396"/>
      <c r="M17" s="396"/>
      <c r="N17" s="396"/>
      <c r="O17" s="396"/>
      <c r="P17" s="396"/>
      <c r="Q17" s="396"/>
      <c r="R17" s="396"/>
      <c r="S17" s="396"/>
      <c r="T17" s="396"/>
      <c r="U17" s="396"/>
      <c r="V17" s="396"/>
      <c r="W17" s="396"/>
      <c r="X17" s="396"/>
      <c r="Y17" s="396"/>
      <c r="Z17" s="396"/>
      <c r="AA17" s="396"/>
      <c r="AB17" s="396"/>
      <c r="AC17" s="396"/>
      <c r="AD17" s="396"/>
      <c r="AE17" s="396"/>
      <c r="AF17" s="396"/>
      <c r="AG17" s="396"/>
      <c r="AH17" s="396"/>
    </row>
    <row r="18" spans="2:34" hidden="1">
      <c r="B18" s="396"/>
      <c r="C18" s="396"/>
      <c r="D18" s="396"/>
      <c r="E18" s="396"/>
      <c r="F18" s="396"/>
      <c r="G18" s="396"/>
      <c r="H18" s="396"/>
      <c r="I18" s="396"/>
      <c r="J18" s="396"/>
      <c r="K18" s="396"/>
      <c r="L18" s="396"/>
      <c r="M18" s="396"/>
      <c r="N18" s="396"/>
      <c r="O18" s="396"/>
      <c r="P18" s="396"/>
      <c r="Q18" s="396"/>
      <c r="R18" s="396"/>
      <c r="S18" s="396"/>
      <c r="T18" s="396"/>
      <c r="U18" s="396"/>
      <c r="V18" s="396"/>
      <c r="W18" s="396"/>
      <c r="X18" s="396"/>
      <c r="Y18" s="396"/>
      <c r="Z18" s="396"/>
      <c r="AA18" s="396"/>
      <c r="AB18" s="396"/>
      <c r="AC18" s="396"/>
      <c r="AD18" s="396"/>
      <c r="AE18" s="396"/>
      <c r="AF18" s="396"/>
      <c r="AG18" s="396"/>
      <c r="AH18" s="396"/>
    </row>
    <row r="19" spans="2:34" ht="15">
      <c r="B19" s="596" t="s">
        <v>316</v>
      </c>
      <c r="C19" s="596"/>
      <c r="D19" s="596"/>
      <c r="E19" s="596"/>
      <c r="F19" s="596"/>
      <c r="G19" s="596"/>
      <c r="H19" s="596"/>
      <c r="I19" s="596"/>
      <c r="J19" s="596"/>
      <c r="K19" s="596"/>
      <c r="L19" s="596"/>
      <c r="M19" s="596"/>
      <c r="N19" s="596"/>
      <c r="O19" s="596"/>
      <c r="P19" s="596"/>
      <c r="Q19" s="596"/>
      <c r="R19" s="596"/>
      <c r="S19" s="596"/>
      <c r="T19" s="596"/>
      <c r="U19" s="596"/>
      <c r="V19" s="596"/>
      <c r="W19" s="596"/>
      <c r="X19" s="596"/>
      <c r="Y19" s="596"/>
      <c r="Z19" s="596"/>
      <c r="AA19" s="596"/>
      <c r="AB19" s="596"/>
      <c r="AC19" s="596"/>
      <c r="AD19" s="596"/>
      <c r="AE19" s="596"/>
      <c r="AF19" s="596"/>
      <c r="AG19" s="596"/>
      <c r="AH19" s="596"/>
    </row>
    <row r="20" spans="2:34" ht="24.75" customHeight="1">
      <c r="D20" s="251"/>
      <c r="E20" s="251"/>
      <c r="F20" s="251"/>
      <c r="G20" s="375"/>
      <c r="H20" s="251"/>
      <c r="I20" s="251">
        <v>2025</v>
      </c>
      <c r="J20" s="251"/>
      <c r="K20" s="251"/>
      <c r="L20" s="251">
        <v>2026</v>
      </c>
      <c r="M20" s="251"/>
      <c r="N20" s="251"/>
      <c r="O20" s="251"/>
      <c r="P20" s="251">
        <v>2027</v>
      </c>
      <c r="T20" s="251">
        <v>2028</v>
      </c>
      <c r="X20" s="251">
        <v>2029</v>
      </c>
    </row>
    <row r="21" spans="2:34" ht="38.1" customHeight="1">
      <c r="B21" s="245" t="s">
        <v>317</v>
      </c>
      <c r="C21" s="432" t="s">
        <v>187</v>
      </c>
      <c r="D21" s="433" t="s">
        <v>318</v>
      </c>
      <c r="E21" s="433" t="s">
        <v>319</v>
      </c>
      <c r="F21" s="432" t="s">
        <v>320</v>
      </c>
      <c r="G21" s="432" t="s">
        <v>304</v>
      </c>
      <c r="H21" s="249"/>
      <c r="I21" s="249">
        <v>2</v>
      </c>
      <c r="J21" s="249">
        <v>3</v>
      </c>
      <c r="K21" s="249">
        <v>4</v>
      </c>
      <c r="L21" s="249">
        <v>1</v>
      </c>
      <c r="M21" s="249">
        <v>2</v>
      </c>
      <c r="N21" s="249">
        <v>3</v>
      </c>
      <c r="O21" s="249">
        <v>4</v>
      </c>
      <c r="P21" s="249">
        <v>1</v>
      </c>
      <c r="Q21" s="249">
        <v>2</v>
      </c>
      <c r="R21" s="249">
        <v>3</v>
      </c>
      <c r="S21" s="250">
        <v>4</v>
      </c>
      <c r="T21" s="250">
        <v>1</v>
      </c>
      <c r="U21" s="250">
        <v>2</v>
      </c>
      <c r="V21" s="250">
        <v>3</v>
      </c>
      <c r="W21" s="250">
        <v>4</v>
      </c>
      <c r="X21" s="250">
        <v>1</v>
      </c>
      <c r="Y21" s="250">
        <v>2</v>
      </c>
      <c r="Z21" s="250">
        <v>3</v>
      </c>
      <c r="AA21" s="250">
        <v>4</v>
      </c>
      <c r="AB21" s="517" t="s">
        <v>321</v>
      </c>
    </row>
    <row r="22" spans="2:34" ht="12.75">
      <c r="B22" s="446" t="s">
        <v>68</v>
      </c>
      <c r="C22" s="430">
        <f>SUMIF('Serial adaptation'!$B$16:$B$66,'Liquidity requirement Serial ad'!$B22,'Serial adaptation'!$H$16:$H$66)*1.5+SUMIF('Serial adaptation'!$B$75:$B$125,'Liquidity requirement Serial ad'!B22,'Serial adaptation'!$H$75:$H$125)+SUMIF('Serial adaptation'!$B$132:$B$181,'Liquidity requirement Serial ad'!B22,'Serial adaptation'!$H$132:$H$181)+SUMIF('Serial adaptation'!$B$188:$B$245,'Liquidity requirement Serial ad'!B22,'Serial adaptation'!$H$188:$H$245)</f>
        <v>0</v>
      </c>
      <c r="D22" s="445"/>
      <c r="E22" s="431"/>
      <c r="F22" s="402">
        <f>YEAR(E22)</f>
        <v>1900</v>
      </c>
      <c r="G22" s="438">
        <f>CEILING(MONTH(E22)/3,1)</f>
        <v>1</v>
      </c>
      <c r="H22" s="376"/>
      <c r="I22" s="504">
        <f>IF(MONTH($C$14)&lt;7,SUMIF($F22,$I$20,$C22)/$C$16,0)</f>
        <v>0</v>
      </c>
      <c r="J22" s="504">
        <f>IF(MONTH($C$14)&lt;10,SUMIF($F22,$I$20,$C22)/$C$16,0)</f>
        <v>0</v>
      </c>
      <c r="K22" s="504">
        <f>SUMIF($F22,$I$20,$C22)/$C$16</f>
        <v>0</v>
      </c>
      <c r="L22" s="504">
        <f>SUMIF($F22,$L$20,$C22)/4</f>
        <v>0</v>
      </c>
      <c r="M22" s="504">
        <f t="shared" ref="M22:O37" si="0">SUMIF($F22,$L$20,$C22)/4</f>
        <v>0</v>
      </c>
      <c r="N22" s="504">
        <f t="shared" si="0"/>
        <v>0</v>
      </c>
      <c r="O22" s="504">
        <f t="shared" si="0"/>
        <v>0</v>
      </c>
      <c r="P22" s="504">
        <f>SUMIF($F22,$P$20,$C22)/4</f>
        <v>0</v>
      </c>
      <c r="Q22" s="504">
        <f t="shared" ref="Q22:S37" si="1">SUMIF($F22,$P$20,$C22)/4</f>
        <v>0</v>
      </c>
      <c r="R22" s="504">
        <f t="shared" si="1"/>
        <v>0</v>
      </c>
      <c r="S22" s="504">
        <f t="shared" si="1"/>
        <v>0</v>
      </c>
      <c r="T22" s="504">
        <f>SUMIF($F22,$T$20,$C22)/4</f>
        <v>0</v>
      </c>
      <c r="U22" s="504">
        <f t="shared" ref="U22:W22" si="2">SUMIF($F22,$T$20,$C22)/4</f>
        <v>0</v>
      </c>
      <c r="V22" s="504">
        <f t="shared" si="2"/>
        <v>0</v>
      </c>
      <c r="W22" s="504">
        <f t="shared" si="2"/>
        <v>0</v>
      </c>
      <c r="X22" s="504">
        <f>SUMIF($F22,$X$20,$C22)/4</f>
        <v>0</v>
      </c>
      <c r="Y22" s="504">
        <f t="shared" ref="Y22:AA22" si="3">SUMIF($F22,$X$20,$C22)/4</f>
        <v>0</v>
      </c>
      <c r="Z22" s="504">
        <f t="shared" si="3"/>
        <v>0</v>
      </c>
      <c r="AA22" s="504">
        <f t="shared" si="3"/>
        <v>0</v>
      </c>
      <c r="AB22" s="137">
        <f>C22-H22-I22-J22-K22-L22-M22-N22-O22-P22-Q22-R22-S22-T22-U22-V22-W22-X22-Y22-Z22-AA22</f>
        <v>0</v>
      </c>
    </row>
    <row r="23" spans="2:34" ht="12.75">
      <c r="B23" s="446" t="s">
        <v>69</v>
      </c>
      <c r="C23" s="430">
        <f>SUMIF('Serial adaptation'!$B$16:$B$66,'Liquidity requirement Serial ad'!$B23,'Serial adaptation'!$H$16:$H$66)*1.5+SUMIF('Serial adaptation'!$B$75:$B$125,'Liquidity requirement Serial ad'!B23,'Serial adaptation'!$H$75:$H$125)+SUMIF('Serial adaptation'!$B$132:$B$181,'Liquidity requirement Serial ad'!B23,'Serial adaptation'!$H$132:$H$181)+SUMIF('Serial adaptation'!$B$188:$B$245,'Liquidity requirement Serial ad'!B23,'Serial adaptation'!$H$188:$H$245)</f>
        <v>0</v>
      </c>
      <c r="D23" s="431"/>
      <c r="E23" s="431"/>
      <c r="F23" s="402">
        <f t="shared" ref="F23:F71" si="4">YEAR(E23)</f>
        <v>1900</v>
      </c>
      <c r="G23" s="438">
        <f t="shared" ref="G23:G71" si="5">CEILING(MONTH(E23)/3,1)</f>
        <v>1</v>
      </c>
      <c r="H23" s="376"/>
      <c r="I23" s="504">
        <f t="shared" ref="I23:I71" si="6">IF(MONTH($C$14)&lt;7,SUMIF($F23,$I$20,$C23)/$C$16,0)</f>
        <v>0</v>
      </c>
      <c r="J23" s="504">
        <f t="shared" ref="J23:J71" si="7">IF(MONTH($C$14)&lt;10,SUMIF($F23,$I$20,$C23)/$C$16,0)</f>
        <v>0</v>
      </c>
      <c r="K23" s="504">
        <f t="shared" ref="K23:K71" si="8">SUMIF($F23,$I$20,$C23)/$C$16</f>
        <v>0</v>
      </c>
      <c r="L23" s="504">
        <f t="shared" ref="L23:O71" si="9">SUMIF($F23,$L$20,$C23)/4</f>
        <v>0</v>
      </c>
      <c r="M23" s="504">
        <f t="shared" si="0"/>
        <v>0</v>
      </c>
      <c r="N23" s="504">
        <f t="shared" si="0"/>
        <v>0</v>
      </c>
      <c r="O23" s="504">
        <f t="shared" si="0"/>
        <v>0</v>
      </c>
      <c r="P23" s="504">
        <f t="shared" ref="P23:S71" si="10">SUMIF($F23,$P$20,$C23)/4</f>
        <v>0</v>
      </c>
      <c r="Q23" s="504">
        <f t="shared" si="1"/>
        <v>0</v>
      </c>
      <c r="R23" s="504">
        <f t="shared" si="1"/>
        <v>0</v>
      </c>
      <c r="S23" s="504">
        <f t="shared" si="1"/>
        <v>0</v>
      </c>
      <c r="T23" s="504">
        <f t="shared" ref="T23:W71" si="11">SUMIF($F23,$T$20,$C23)/4</f>
        <v>0</v>
      </c>
      <c r="U23" s="504">
        <f t="shared" si="11"/>
        <v>0</v>
      </c>
      <c r="V23" s="504">
        <f t="shared" si="11"/>
        <v>0</v>
      </c>
      <c r="W23" s="504">
        <f t="shared" si="11"/>
        <v>0</v>
      </c>
      <c r="X23" s="504">
        <f t="shared" ref="X23:AA71" si="12">SUMIF($F23,$X$20,$C23)/4</f>
        <v>0</v>
      </c>
      <c r="Y23" s="504">
        <f t="shared" si="12"/>
        <v>0</v>
      </c>
      <c r="Z23" s="504">
        <f t="shared" si="12"/>
        <v>0</v>
      </c>
      <c r="AA23" s="504">
        <f t="shared" si="12"/>
        <v>0</v>
      </c>
      <c r="AB23" s="137">
        <f t="shared" ref="AB23:AB71" si="13">C23-H23-I23-J23-K23-L23-M23-N23-O23-P23-Q23-R23-S23-T23-U23-V23-W23-X23-Y23-Z23-AA23</f>
        <v>0</v>
      </c>
    </row>
    <row r="24" spans="2:34" ht="12.75">
      <c r="B24" s="446" t="s">
        <v>70</v>
      </c>
      <c r="C24" s="430">
        <f>SUMIF('Serial adaptation'!$B$16:$B$66,'Liquidity requirement Serial ad'!$B24,'Serial adaptation'!$H$16:$H$66)*1.5+SUMIF('Serial adaptation'!$B$75:$B$125,'Liquidity requirement Serial ad'!B24,'Serial adaptation'!$H$75:$H$125)+SUMIF('Serial adaptation'!$B$132:$B$181,'Liquidity requirement Serial ad'!B24,'Serial adaptation'!$H$132:$H$181)+SUMIF('Serial adaptation'!$B$188:$B$245,'Liquidity requirement Serial ad'!B24,'Serial adaptation'!$H$188:$H$245)</f>
        <v>0</v>
      </c>
      <c r="D24" s="431"/>
      <c r="E24" s="431"/>
      <c r="F24" s="402">
        <f t="shared" si="4"/>
        <v>1900</v>
      </c>
      <c r="G24" s="438">
        <f t="shared" si="5"/>
        <v>1</v>
      </c>
      <c r="H24" s="376"/>
      <c r="I24" s="504">
        <f t="shared" si="6"/>
        <v>0</v>
      </c>
      <c r="J24" s="504">
        <f t="shared" si="7"/>
        <v>0</v>
      </c>
      <c r="K24" s="504">
        <f t="shared" si="8"/>
        <v>0</v>
      </c>
      <c r="L24" s="504">
        <f t="shared" si="9"/>
        <v>0</v>
      </c>
      <c r="M24" s="504">
        <f t="shared" si="0"/>
        <v>0</v>
      </c>
      <c r="N24" s="504">
        <f t="shared" si="0"/>
        <v>0</v>
      </c>
      <c r="O24" s="504">
        <f t="shared" si="0"/>
        <v>0</v>
      </c>
      <c r="P24" s="504">
        <f t="shared" si="10"/>
        <v>0</v>
      </c>
      <c r="Q24" s="504">
        <f t="shared" si="1"/>
        <v>0</v>
      </c>
      <c r="R24" s="504">
        <f t="shared" si="1"/>
        <v>0</v>
      </c>
      <c r="S24" s="504">
        <f t="shared" si="1"/>
        <v>0</v>
      </c>
      <c r="T24" s="504">
        <f t="shared" si="11"/>
        <v>0</v>
      </c>
      <c r="U24" s="504">
        <f t="shared" si="11"/>
        <v>0</v>
      </c>
      <c r="V24" s="504">
        <f t="shared" si="11"/>
        <v>0</v>
      </c>
      <c r="W24" s="504">
        <f t="shared" si="11"/>
        <v>0</v>
      </c>
      <c r="X24" s="504">
        <f t="shared" si="12"/>
        <v>0</v>
      </c>
      <c r="Y24" s="504">
        <f t="shared" si="12"/>
        <v>0</v>
      </c>
      <c r="Z24" s="504">
        <f t="shared" si="12"/>
        <v>0</v>
      </c>
      <c r="AA24" s="504">
        <f t="shared" si="12"/>
        <v>0</v>
      </c>
      <c r="AB24" s="137">
        <f t="shared" si="13"/>
        <v>0</v>
      </c>
    </row>
    <row r="25" spans="2:34" ht="12.75">
      <c r="B25" s="446" t="s">
        <v>72</v>
      </c>
      <c r="C25" s="430">
        <f>SUMIF('Serial adaptation'!$B$16:$B$66,'Liquidity requirement Serial ad'!$B25,'Serial adaptation'!$H$16:$H$66)*1.5+SUMIF('Serial adaptation'!$B$75:$B$125,'Liquidity requirement Serial ad'!B25,'Serial adaptation'!$H$75:$H$125)+SUMIF('Serial adaptation'!$B$132:$B$181,'Liquidity requirement Serial ad'!B25,'Serial adaptation'!$H$132:$H$181)+SUMIF('Serial adaptation'!$B$188:$B$245,'Liquidity requirement Serial ad'!B25,'Serial adaptation'!$H$188:$H$245)</f>
        <v>0</v>
      </c>
      <c r="D25" s="431"/>
      <c r="E25" s="431"/>
      <c r="F25" s="402">
        <f t="shared" si="4"/>
        <v>1900</v>
      </c>
      <c r="G25" s="438">
        <f t="shared" si="5"/>
        <v>1</v>
      </c>
      <c r="H25" s="376"/>
      <c r="I25" s="504">
        <f t="shared" si="6"/>
        <v>0</v>
      </c>
      <c r="J25" s="504">
        <f t="shared" si="7"/>
        <v>0</v>
      </c>
      <c r="K25" s="504">
        <f t="shared" si="8"/>
        <v>0</v>
      </c>
      <c r="L25" s="504">
        <f t="shared" si="9"/>
        <v>0</v>
      </c>
      <c r="M25" s="504">
        <f t="shared" si="0"/>
        <v>0</v>
      </c>
      <c r="N25" s="504">
        <f t="shared" si="0"/>
        <v>0</v>
      </c>
      <c r="O25" s="504">
        <f t="shared" si="0"/>
        <v>0</v>
      </c>
      <c r="P25" s="504">
        <f t="shared" si="10"/>
        <v>0</v>
      </c>
      <c r="Q25" s="504">
        <f t="shared" si="1"/>
        <v>0</v>
      </c>
      <c r="R25" s="504">
        <f t="shared" si="1"/>
        <v>0</v>
      </c>
      <c r="S25" s="504">
        <f t="shared" si="1"/>
        <v>0</v>
      </c>
      <c r="T25" s="504">
        <f t="shared" si="11"/>
        <v>0</v>
      </c>
      <c r="U25" s="504">
        <f t="shared" si="11"/>
        <v>0</v>
      </c>
      <c r="V25" s="504">
        <f t="shared" si="11"/>
        <v>0</v>
      </c>
      <c r="W25" s="504">
        <f t="shared" si="11"/>
        <v>0</v>
      </c>
      <c r="X25" s="504">
        <f t="shared" si="12"/>
        <v>0</v>
      </c>
      <c r="Y25" s="504">
        <f t="shared" si="12"/>
        <v>0</v>
      </c>
      <c r="Z25" s="504">
        <f t="shared" si="12"/>
        <v>0</v>
      </c>
      <c r="AA25" s="504">
        <f t="shared" si="12"/>
        <v>0</v>
      </c>
      <c r="AB25" s="137">
        <f t="shared" si="13"/>
        <v>0</v>
      </c>
    </row>
    <row r="26" spans="2:34" ht="12.75">
      <c r="B26" s="446" t="s">
        <v>73</v>
      </c>
      <c r="C26" s="430">
        <f>SUMIF('Serial adaptation'!$B$16:$B$66,'Liquidity requirement Serial ad'!$B26,'Serial adaptation'!$H$16:$H$66)*1.5+SUMIF('Serial adaptation'!$B$75:$B$125,'Liquidity requirement Serial ad'!B26,'Serial adaptation'!$H$75:$H$125)+SUMIF('Serial adaptation'!$B$132:$B$181,'Liquidity requirement Serial ad'!B26,'Serial adaptation'!$H$132:$H$181)+SUMIF('Serial adaptation'!$B$188:$B$245,'Liquidity requirement Serial ad'!B26,'Serial adaptation'!$H$188:$H$245)</f>
        <v>0</v>
      </c>
      <c r="D26" s="431"/>
      <c r="E26" s="431"/>
      <c r="F26" s="402">
        <f t="shared" si="4"/>
        <v>1900</v>
      </c>
      <c r="G26" s="438">
        <f t="shared" si="5"/>
        <v>1</v>
      </c>
      <c r="H26" s="376"/>
      <c r="I26" s="504">
        <f t="shared" si="6"/>
        <v>0</v>
      </c>
      <c r="J26" s="504">
        <f t="shared" si="7"/>
        <v>0</v>
      </c>
      <c r="K26" s="504">
        <f t="shared" si="8"/>
        <v>0</v>
      </c>
      <c r="L26" s="504">
        <f t="shared" si="9"/>
        <v>0</v>
      </c>
      <c r="M26" s="504">
        <f t="shared" si="0"/>
        <v>0</v>
      </c>
      <c r="N26" s="504">
        <f t="shared" si="0"/>
        <v>0</v>
      </c>
      <c r="O26" s="504">
        <f t="shared" si="0"/>
        <v>0</v>
      </c>
      <c r="P26" s="504">
        <f t="shared" si="10"/>
        <v>0</v>
      </c>
      <c r="Q26" s="504">
        <f t="shared" si="1"/>
        <v>0</v>
      </c>
      <c r="R26" s="504">
        <f t="shared" si="1"/>
        <v>0</v>
      </c>
      <c r="S26" s="504">
        <f t="shared" si="1"/>
        <v>0</v>
      </c>
      <c r="T26" s="504">
        <f t="shared" si="11"/>
        <v>0</v>
      </c>
      <c r="U26" s="504">
        <f t="shared" si="11"/>
        <v>0</v>
      </c>
      <c r="V26" s="504">
        <f t="shared" si="11"/>
        <v>0</v>
      </c>
      <c r="W26" s="504">
        <f t="shared" si="11"/>
        <v>0</v>
      </c>
      <c r="X26" s="504">
        <f t="shared" si="12"/>
        <v>0</v>
      </c>
      <c r="Y26" s="504">
        <f t="shared" si="12"/>
        <v>0</v>
      </c>
      <c r="Z26" s="504">
        <f t="shared" si="12"/>
        <v>0</v>
      </c>
      <c r="AA26" s="504">
        <f t="shared" si="12"/>
        <v>0</v>
      </c>
      <c r="AB26" s="137">
        <f t="shared" si="13"/>
        <v>0</v>
      </c>
    </row>
    <row r="27" spans="2:34" ht="12.75">
      <c r="B27" s="446" t="s">
        <v>75</v>
      </c>
      <c r="C27" s="430">
        <f>SUMIF('Serial adaptation'!$B$16:$B$66,'Liquidity requirement Serial ad'!$B27,'Serial adaptation'!$H$16:$H$66)*1.5+SUMIF('Serial adaptation'!$B$75:$B$125,'Liquidity requirement Serial ad'!B27,'Serial adaptation'!$H$75:$H$125)+SUMIF('Serial adaptation'!$B$132:$B$181,'Liquidity requirement Serial ad'!B27,'Serial adaptation'!$H$132:$H$181)+SUMIF('Serial adaptation'!$B$188:$B$245,'Liquidity requirement Serial ad'!B27,'Serial adaptation'!$H$188:$H$245)</f>
        <v>0</v>
      </c>
      <c r="D27" s="431"/>
      <c r="E27" s="431"/>
      <c r="F27" s="402">
        <f t="shared" si="4"/>
        <v>1900</v>
      </c>
      <c r="G27" s="438">
        <f t="shared" si="5"/>
        <v>1</v>
      </c>
      <c r="H27" s="376"/>
      <c r="I27" s="504">
        <f t="shared" si="6"/>
        <v>0</v>
      </c>
      <c r="J27" s="504">
        <f t="shared" si="7"/>
        <v>0</v>
      </c>
      <c r="K27" s="504">
        <f t="shared" si="8"/>
        <v>0</v>
      </c>
      <c r="L27" s="504">
        <f t="shared" si="9"/>
        <v>0</v>
      </c>
      <c r="M27" s="504">
        <f t="shared" si="0"/>
        <v>0</v>
      </c>
      <c r="N27" s="504">
        <f t="shared" si="0"/>
        <v>0</v>
      </c>
      <c r="O27" s="504">
        <f t="shared" si="0"/>
        <v>0</v>
      </c>
      <c r="P27" s="504">
        <f t="shared" si="10"/>
        <v>0</v>
      </c>
      <c r="Q27" s="504">
        <f t="shared" si="1"/>
        <v>0</v>
      </c>
      <c r="R27" s="504">
        <f t="shared" si="1"/>
        <v>0</v>
      </c>
      <c r="S27" s="504">
        <f t="shared" si="1"/>
        <v>0</v>
      </c>
      <c r="T27" s="504">
        <f t="shared" si="11"/>
        <v>0</v>
      </c>
      <c r="U27" s="504">
        <f t="shared" si="11"/>
        <v>0</v>
      </c>
      <c r="V27" s="504">
        <f t="shared" si="11"/>
        <v>0</v>
      </c>
      <c r="W27" s="504">
        <f t="shared" si="11"/>
        <v>0</v>
      </c>
      <c r="X27" s="504">
        <f t="shared" si="12"/>
        <v>0</v>
      </c>
      <c r="Y27" s="504">
        <f t="shared" si="12"/>
        <v>0</v>
      </c>
      <c r="Z27" s="504">
        <f t="shared" si="12"/>
        <v>0</v>
      </c>
      <c r="AA27" s="504">
        <f t="shared" si="12"/>
        <v>0</v>
      </c>
      <c r="AB27" s="137">
        <f t="shared" si="13"/>
        <v>0</v>
      </c>
    </row>
    <row r="28" spans="2:34" ht="12.75">
      <c r="B28" s="446" t="s">
        <v>77</v>
      </c>
      <c r="C28" s="430">
        <f>SUMIF('Serial adaptation'!$B$16:$B$66,'Liquidity requirement Serial ad'!$B28,'Serial adaptation'!$H$16:$H$66)*1.5+SUMIF('Serial adaptation'!$B$75:$B$125,'Liquidity requirement Serial ad'!B28,'Serial adaptation'!$H$75:$H$125)+SUMIF('Serial adaptation'!$B$132:$B$181,'Liquidity requirement Serial ad'!B28,'Serial adaptation'!$H$132:$H$181)+SUMIF('Serial adaptation'!$B$188:$B$245,'Liquidity requirement Serial ad'!B28,'Serial adaptation'!$H$188:$H$245)</f>
        <v>0</v>
      </c>
      <c r="D28" s="431"/>
      <c r="E28" s="431"/>
      <c r="F28" s="402">
        <f t="shared" si="4"/>
        <v>1900</v>
      </c>
      <c r="G28" s="438">
        <f t="shared" si="5"/>
        <v>1</v>
      </c>
      <c r="H28" s="376"/>
      <c r="I28" s="504">
        <f t="shared" si="6"/>
        <v>0</v>
      </c>
      <c r="J28" s="504">
        <f t="shared" si="7"/>
        <v>0</v>
      </c>
      <c r="K28" s="504">
        <f t="shared" si="8"/>
        <v>0</v>
      </c>
      <c r="L28" s="504">
        <f t="shared" si="9"/>
        <v>0</v>
      </c>
      <c r="M28" s="504">
        <f t="shared" si="0"/>
        <v>0</v>
      </c>
      <c r="N28" s="504">
        <f t="shared" si="0"/>
        <v>0</v>
      </c>
      <c r="O28" s="504">
        <f t="shared" si="0"/>
        <v>0</v>
      </c>
      <c r="P28" s="504">
        <f t="shared" si="10"/>
        <v>0</v>
      </c>
      <c r="Q28" s="504">
        <f t="shared" si="1"/>
        <v>0</v>
      </c>
      <c r="R28" s="504">
        <f t="shared" si="1"/>
        <v>0</v>
      </c>
      <c r="S28" s="504">
        <f t="shared" si="1"/>
        <v>0</v>
      </c>
      <c r="T28" s="504">
        <f t="shared" si="11"/>
        <v>0</v>
      </c>
      <c r="U28" s="504">
        <f t="shared" si="11"/>
        <v>0</v>
      </c>
      <c r="V28" s="504">
        <f t="shared" si="11"/>
        <v>0</v>
      </c>
      <c r="W28" s="504">
        <f t="shared" si="11"/>
        <v>0</v>
      </c>
      <c r="X28" s="504">
        <f t="shared" si="12"/>
        <v>0</v>
      </c>
      <c r="Y28" s="504">
        <f t="shared" si="12"/>
        <v>0</v>
      </c>
      <c r="Z28" s="504">
        <f t="shared" si="12"/>
        <v>0</v>
      </c>
      <c r="AA28" s="504">
        <f t="shared" si="12"/>
        <v>0</v>
      </c>
      <c r="AB28" s="137">
        <f t="shared" si="13"/>
        <v>0</v>
      </c>
    </row>
    <row r="29" spans="2:34" ht="12.75">
      <c r="B29" s="446" t="s">
        <v>78</v>
      </c>
      <c r="C29" s="430">
        <f>SUMIF('Serial adaptation'!$B$16:$B$66,'Liquidity requirement Serial ad'!$B29,'Serial adaptation'!$H$16:$H$66)*1.5+SUMIF('Serial adaptation'!$B$75:$B$125,'Liquidity requirement Serial ad'!B29,'Serial adaptation'!$H$75:$H$125)+SUMIF('Serial adaptation'!$B$132:$B$181,'Liquidity requirement Serial ad'!B29,'Serial adaptation'!$H$132:$H$181)+SUMIF('Serial adaptation'!$B$188:$B$245,'Liquidity requirement Serial ad'!B29,'Serial adaptation'!$H$188:$H$245)</f>
        <v>0</v>
      </c>
      <c r="D29" s="431"/>
      <c r="E29" s="431"/>
      <c r="F29" s="402">
        <f t="shared" si="4"/>
        <v>1900</v>
      </c>
      <c r="G29" s="438">
        <f t="shared" si="5"/>
        <v>1</v>
      </c>
      <c r="H29" s="376"/>
      <c r="I29" s="504">
        <f t="shared" si="6"/>
        <v>0</v>
      </c>
      <c r="J29" s="504">
        <f t="shared" si="7"/>
        <v>0</v>
      </c>
      <c r="K29" s="504">
        <f t="shared" si="8"/>
        <v>0</v>
      </c>
      <c r="L29" s="504">
        <f t="shared" si="9"/>
        <v>0</v>
      </c>
      <c r="M29" s="504">
        <f t="shared" si="0"/>
        <v>0</v>
      </c>
      <c r="N29" s="504">
        <f t="shared" si="0"/>
        <v>0</v>
      </c>
      <c r="O29" s="504">
        <f t="shared" si="0"/>
        <v>0</v>
      </c>
      <c r="P29" s="504">
        <f t="shared" si="10"/>
        <v>0</v>
      </c>
      <c r="Q29" s="504">
        <f t="shared" si="1"/>
        <v>0</v>
      </c>
      <c r="R29" s="504">
        <f t="shared" si="1"/>
        <v>0</v>
      </c>
      <c r="S29" s="504">
        <f t="shared" si="1"/>
        <v>0</v>
      </c>
      <c r="T29" s="504">
        <f t="shared" si="11"/>
        <v>0</v>
      </c>
      <c r="U29" s="504">
        <f t="shared" si="11"/>
        <v>0</v>
      </c>
      <c r="V29" s="504">
        <f t="shared" si="11"/>
        <v>0</v>
      </c>
      <c r="W29" s="504">
        <f t="shared" si="11"/>
        <v>0</v>
      </c>
      <c r="X29" s="504">
        <f t="shared" si="12"/>
        <v>0</v>
      </c>
      <c r="Y29" s="504">
        <f t="shared" si="12"/>
        <v>0</v>
      </c>
      <c r="Z29" s="504">
        <f t="shared" si="12"/>
        <v>0</v>
      </c>
      <c r="AA29" s="504">
        <f t="shared" si="12"/>
        <v>0</v>
      </c>
      <c r="AB29" s="137">
        <f t="shared" si="13"/>
        <v>0</v>
      </c>
    </row>
    <row r="30" spans="2:34" ht="12.75">
      <c r="B30" s="446" t="s">
        <v>79</v>
      </c>
      <c r="C30" s="430">
        <f>SUMIF('Serial adaptation'!$B$16:$B$66,'Liquidity requirement Serial ad'!$B30,'Serial adaptation'!$H$16:$H$66)*1.5+SUMIF('Serial adaptation'!$B$75:$B$125,'Liquidity requirement Serial ad'!B30,'Serial adaptation'!$H$75:$H$125)+SUMIF('Serial adaptation'!$B$132:$B$181,'Liquidity requirement Serial ad'!B30,'Serial adaptation'!$H$132:$H$181)+SUMIF('Serial adaptation'!$B$188:$B$245,'Liquidity requirement Serial ad'!B30,'Serial adaptation'!$H$188:$H$245)</f>
        <v>0</v>
      </c>
      <c r="D30" s="431"/>
      <c r="E30" s="431"/>
      <c r="F30" s="402">
        <f t="shared" si="4"/>
        <v>1900</v>
      </c>
      <c r="G30" s="438">
        <f t="shared" si="5"/>
        <v>1</v>
      </c>
      <c r="H30" s="376"/>
      <c r="I30" s="504">
        <f t="shared" si="6"/>
        <v>0</v>
      </c>
      <c r="J30" s="504">
        <f t="shared" si="7"/>
        <v>0</v>
      </c>
      <c r="K30" s="504">
        <f t="shared" si="8"/>
        <v>0</v>
      </c>
      <c r="L30" s="504">
        <f t="shared" si="9"/>
        <v>0</v>
      </c>
      <c r="M30" s="504">
        <f t="shared" si="0"/>
        <v>0</v>
      </c>
      <c r="N30" s="504">
        <f t="shared" si="0"/>
        <v>0</v>
      </c>
      <c r="O30" s="504">
        <f t="shared" si="0"/>
        <v>0</v>
      </c>
      <c r="P30" s="504">
        <f t="shared" si="10"/>
        <v>0</v>
      </c>
      <c r="Q30" s="504">
        <f t="shared" si="1"/>
        <v>0</v>
      </c>
      <c r="R30" s="504">
        <f t="shared" si="1"/>
        <v>0</v>
      </c>
      <c r="S30" s="504">
        <f t="shared" si="1"/>
        <v>0</v>
      </c>
      <c r="T30" s="504">
        <f t="shared" si="11"/>
        <v>0</v>
      </c>
      <c r="U30" s="504">
        <f t="shared" si="11"/>
        <v>0</v>
      </c>
      <c r="V30" s="504">
        <f t="shared" si="11"/>
        <v>0</v>
      </c>
      <c r="W30" s="504">
        <f t="shared" si="11"/>
        <v>0</v>
      </c>
      <c r="X30" s="504">
        <f t="shared" si="12"/>
        <v>0</v>
      </c>
      <c r="Y30" s="504">
        <f t="shared" si="12"/>
        <v>0</v>
      </c>
      <c r="Z30" s="504">
        <f t="shared" si="12"/>
        <v>0</v>
      </c>
      <c r="AA30" s="504">
        <f t="shared" si="12"/>
        <v>0</v>
      </c>
      <c r="AB30" s="137">
        <f t="shared" si="13"/>
        <v>0</v>
      </c>
    </row>
    <row r="31" spans="2:34" ht="12.75">
      <c r="B31" s="446" t="s">
        <v>80</v>
      </c>
      <c r="C31" s="430">
        <f>SUMIF('Serial adaptation'!$B$16:$B$66,'Liquidity requirement Serial ad'!$B31,'Serial adaptation'!$H$16:$H$66)*1.5+SUMIF('Serial adaptation'!$B$75:$B$125,'Liquidity requirement Serial ad'!B31,'Serial adaptation'!$H$75:$H$125)+SUMIF('Serial adaptation'!$B$132:$B$181,'Liquidity requirement Serial ad'!B31,'Serial adaptation'!$H$132:$H$181)+SUMIF('Serial adaptation'!$B$188:$B$245,'Liquidity requirement Serial ad'!B31,'Serial adaptation'!$H$188:$H$245)</f>
        <v>0</v>
      </c>
      <c r="D31" s="431"/>
      <c r="E31" s="431"/>
      <c r="F31" s="402">
        <f t="shared" si="4"/>
        <v>1900</v>
      </c>
      <c r="G31" s="438">
        <f t="shared" si="5"/>
        <v>1</v>
      </c>
      <c r="H31" s="376"/>
      <c r="I31" s="504">
        <f t="shared" si="6"/>
        <v>0</v>
      </c>
      <c r="J31" s="504">
        <f t="shared" si="7"/>
        <v>0</v>
      </c>
      <c r="K31" s="504">
        <f t="shared" si="8"/>
        <v>0</v>
      </c>
      <c r="L31" s="504">
        <f t="shared" si="9"/>
        <v>0</v>
      </c>
      <c r="M31" s="504">
        <f t="shared" si="0"/>
        <v>0</v>
      </c>
      <c r="N31" s="504">
        <f t="shared" si="0"/>
        <v>0</v>
      </c>
      <c r="O31" s="504">
        <f t="shared" si="0"/>
        <v>0</v>
      </c>
      <c r="P31" s="504">
        <f t="shared" si="10"/>
        <v>0</v>
      </c>
      <c r="Q31" s="504">
        <f t="shared" si="1"/>
        <v>0</v>
      </c>
      <c r="R31" s="504">
        <f t="shared" si="1"/>
        <v>0</v>
      </c>
      <c r="S31" s="504">
        <f t="shared" si="1"/>
        <v>0</v>
      </c>
      <c r="T31" s="504">
        <f t="shared" si="11"/>
        <v>0</v>
      </c>
      <c r="U31" s="504">
        <f t="shared" si="11"/>
        <v>0</v>
      </c>
      <c r="V31" s="504">
        <f t="shared" si="11"/>
        <v>0</v>
      </c>
      <c r="W31" s="504">
        <f t="shared" si="11"/>
        <v>0</v>
      </c>
      <c r="X31" s="504">
        <f t="shared" si="12"/>
        <v>0</v>
      </c>
      <c r="Y31" s="504">
        <f t="shared" si="12"/>
        <v>0</v>
      </c>
      <c r="Z31" s="504">
        <f t="shared" si="12"/>
        <v>0</v>
      </c>
      <c r="AA31" s="504">
        <f t="shared" si="12"/>
        <v>0</v>
      </c>
      <c r="AB31" s="137">
        <f t="shared" si="13"/>
        <v>0</v>
      </c>
    </row>
    <row r="32" spans="2:34" ht="12.75">
      <c r="B32" s="446" t="s">
        <v>81</v>
      </c>
      <c r="C32" s="430">
        <f>SUMIF('Serial adaptation'!$B$16:$B$66,'Liquidity requirement Serial ad'!$B32,'Serial adaptation'!$H$16:$H$66)*1.5+SUMIF('Serial adaptation'!$B$75:$B$125,'Liquidity requirement Serial ad'!B32,'Serial adaptation'!$H$75:$H$125)+SUMIF('Serial adaptation'!$B$132:$B$181,'Liquidity requirement Serial ad'!B32,'Serial adaptation'!$H$132:$H$181)+SUMIF('Serial adaptation'!$B$188:$B$245,'Liquidity requirement Serial ad'!B32,'Serial adaptation'!$H$188:$H$245)</f>
        <v>0</v>
      </c>
      <c r="D32" s="431"/>
      <c r="E32" s="431"/>
      <c r="F32" s="402">
        <f t="shared" si="4"/>
        <v>1900</v>
      </c>
      <c r="G32" s="438">
        <f t="shared" si="5"/>
        <v>1</v>
      </c>
      <c r="H32" s="376"/>
      <c r="I32" s="504">
        <f t="shared" si="6"/>
        <v>0</v>
      </c>
      <c r="J32" s="504">
        <f t="shared" si="7"/>
        <v>0</v>
      </c>
      <c r="K32" s="504">
        <f t="shared" si="8"/>
        <v>0</v>
      </c>
      <c r="L32" s="504">
        <f t="shared" si="9"/>
        <v>0</v>
      </c>
      <c r="M32" s="504">
        <f t="shared" si="0"/>
        <v>0</v>
      </c>
      <c r="N32" s="504">
        <f t="shared" si="0"/>
        <v>0</v>
      </c>
      <c r="O32" s="504">
        <f t="shared" si="0"/>
        <v>0</v>
      </c>
      <c r="P32" s="504">
        <f t="shared" si="10"/>
        <v>0</v>
      </c>
      <c r="Q32" s="504">
        <f t="shared" si="1"/>
        <v>0</v>
      </c>
      <c r="R32" s="504">
        <f t="shared" si="1"/>
        <v>0</v>
      </c>
      <c r="S32" s="504">
        <f t="shared" si="1"/>
        <v>0</v>
      </c>
      <c r="T32" s="504">
        <f t="shared" si="11"/>
        <v>0</v>
      </c>
      <c r="U32" s="504">
        <f t="shared" si="11"/>
        <v>0</v>
      </c>
      <c r="V32" s="504">
        <f t="shared" si="11"/>
        <v>0</v>
      </c>
      <c r="W32" s="504">
        <f t="shared" si="11"/>
        <v>0</v>
      </c>
      <c r="X32" s="504">
        <f t="shared" si="12"/>
        <v>0</v>
      </c>
      <c r="Y32" s="504">
        <f t="shared" si="12"/>
        <v>0</v>
      </c>
      <c r="Z32" s="504">
        <f t="shared" si="12"/>
        <v>0</v>
      </c>
      <c r="AA32" s="504">
        <f t="shared" si="12"/>
        <v>0</v>
      </c>
      <c r="AB32" s="137">
        <f t="shared" si="13"/>
        <v>0</v>
      </c>
    </row>
    <row r="33" spans="2:28" ht="12.75">
      <c r="B33" s="446" t="s">
        <v>82</v>
      </c>
      <c r="C33" s="430">
        <f>SUMIF('Serial adaptation'!$B$16:$B$66,'Liquidity requirement Serial ad'!$B33,'Serial adaptation'!$H$16:$H$66)*1.5+SUMIF('Serial adaptation'!$B$75:$B$125,'Liquidity requirement Serial ad'!B33,'Serial adaptation'!$H$75:$H$125)+SUMIF('Serial adaptation'!$B$132:$B$181,'Liquidity requirement Serial ad'!B33,'Serial adaptation'!$H$132:$H$181)+SUMIF('Serial adaptation'!$B$188:$B$245,'Liquidity requirement Serial ad'!B33,'Serial adaptation'!$H$188:$H$245)</f>
        <v>0</v>
      </c>
      <c r="D33" s="431"/>
      <c r="E33" s="431"/>
      <c r="F33" s="402">
        <f t="shared" si="4"/>
        <v>1900</v>
      </c>
      <c r="G33" s="438">
        <f t="shared" si="5"/>
        <v>1</v>
      </c>
      <c r="H33" s="376"/>
      <c r="I33" s="504">
        <f t="shared" si="6"/>
        <v>0</v>
      </c>
      <c r="J33" s="504">
        <f t="shared" si="7"/>
        <v>0</v>
      </c>
      <c r="K33" s="504">
        <f t="shared" si="8"/>
        <v>0</v>
      </c>
      <c r="L33" s="504">
        <f t="shared" si="9"/>
        <v>0</v>
      </c>
      <c r="M33" s="504">
        <f t="shared" si="0"/>
        <v>0</v>
      </c>
      <c r="N33" s="504">
        <f t="shared" si="0"/>
        <v>0</v>
      </c>
      <c r="O33" s="504">
        <f t="shared" si="0"/>
        <v>0</v>
      </c>
      <c r="P33" s="504">
        <f t="shared" si="10"/>
        <v>0</v>
      </c>
      <c r="Q33" s="504">
        <f t="shared" si="1"/>
        <v>0</v>
      </c>
      <c r="R33" s="504">
        <f t="shared" si="1"/>
        <v>0</v>
      </c>
      <c r="S33" s="504">
        <f t="shared" si="1"/>
        <v>0</v>
      </c>
      <c r="T33" s="504">
        <f t="shared" si="11"/>
        <v>0</v>
      </c>
      <c r="U33" s="504">
        <f t="shared" si="11"/>
        <v>0</v>
      </c>
      <c r="V33" s="504">
        <f t="shared" si="11"/>
        <v>0</v>
      </c>
      <c r="W33" s="504">
        <f t="shared" si="11"/>
        <v>0</v>
      </c>
      <c r="X33" s="504">
        <f t="shared" si="12"/>
        <v>0</v>
      </c>
      <c r="Y33" s="504">
        <f t="shared" si="12"/>
        <v>0</v>
      </c>
      <c r="Z33" s="504">
        <f t="shared" si="12"/>
        <v>0</v>
      </c>
      <c r="AA33" s="504">
        <f t="shared" si="12"/>
        <v>0</v>
      </c>
      <c r="AB33" s="137">
        <f t="shared" si="13"/>
        <v>0</v>
      </c>
    </row>
    <row r="34" spans="2:28" ht="12.75">
      <c r="B34" s="446" t="s">
        <v>83</v>
      </c>
      <c r="C34" s="430">
        <f>SUMIF('Serial adaptation'!$B$16:$B$66,'Liquidity requirement Serial ad'!$B34,'Serial adaptation'!$H$16:$H$66)*1.5+SUMIF('Serial adaptation'!$B$75:$B$125,'Liquidity requirement Serial ad'!B34,'Serial adaptation'!$H$75:$H$125)+SUMIF('Serial adaptation'!$B$132:$B$181,'Liquidity requirement Serial ad'!B34,'Serial adaptation'!$H$132:$H$181)+SUMIF('Serial adaptation'!$B$188:$B$245,'Liquidity requirement Serial ad'!B34,'Serial adaptation'!$H$188:$H$245)</f>
        <v>0</v>
      </c>
      <c r="D34" s="431"/>
      <c r="E34" s="431"/>
      <c r="F34" s="402">
        <f t="shared" si="4"/>
        <v>1900</v>
      </c>
      <c r="G34" s="438">
        <f t="shared" si="5"/>
        <v>1</v>
      </c>
      <c r="H34" s="376"/>
      <c r="I34" s="504">
        <f t="shared" si="6"/>
        <v>0</v>
      </c>
      <c r="J34" s="504">
        <f t="shared" si="7"/>
        <v>0</v>
      </c>
      <c r="K34" s="504">
        <f t="shared" si="8"/>
        <v>0</v>
      </c>
      <c r="L34" s="504">
        <f t="shared" si="9"/>
        <v>0</v>
      </c>
      <c r="M34" s="504">
        <f t="shared" si="0"/>
        <v>0</v>
      </c>
      <c r="N34" s="504">
        <f t="shared" si="0"/>
        <v>0</v>
      </c>
      <c r="O34" s="504">
        <f t="shared" si="0"/>
        <v>0</v>
      </c>
      <c r="P34" s="504">
        <f t="shared" si="10"/>
        <v>0</v>
      </c>
      <c r="Q34" s="504">
        <f t="shared" si="1"/>
        <v>0</v>
      </c>
      <c r="R34" s="504">
        <f t="shared" si="1"/>
        <v>0</v>
      </c>
      <c r="S34" s="504">
        <f t="shared" si="1"/>
        <v>0</v>
      </c>
      <c r="T34" s="504">
        <f t="shared" si="11"/>
        <v>0</v>
      </c>
      <c r="U34" s="504">
        <f t="shared" si="11"/>
        <v>0</v>
      </c>
      <c r="V34" s="504">
        <f t="shared" si="11"/>
        <v>0</v>
      </c>
      <c r="W34" s="504">
        <f t="shared" si="11"/>
        <v>0</v>
      </c>
      <c r="X34" s="504">
        <f t="shared" si="12"/>
        <v>0</v>
      </c>
      <c r="Y34" s="504">
        <f t="shared" si="12"/>
        <v>0</v>
      </c>
      <c r="Z34" s="504">
        <f t="shared" si="12"/>
        <v>0</v>
      </c>
      <c r="AA34" s="504">
        <f t="shared" si="12"/>
        <v>0</v>
      </c>
      <c r="AB34" s="137">
        <f t="shared" si="13"/>
        <v>0</v>
      </c>
    </row>
    <row r="35" spans="2:28" ht="12.75">
      <c r="B35" s="446" t="s">
        <v>84</v>
      </c>
      <c r="C35" s="430">
        <f>SUMIF('Serial adaptation'!$B$16:$B$66,'Liquidity requirement Serial ad'!$B35,'Serial adaptation'!$H$16:$H$66)*1.5+SUMIF('Serial adaptation'!$B$75:$B$125,'Liquidity requirement Serial ad'!B35,'Serial adaptation'!$H$75:$H$125)+SUMIF('Serial adaptation'!$B$132:$B$181,'Liquidity requirement Serial ad'!B35,'Serial adaptation'!$H$132:$H$181)+SUMIF('Serial adaptation'!$B$188:$B$245,'Liquidity requirement Serial ad'!B35,'Serial adaptation'!$H$188:$H$245)</f>
        <v>0</v>
      </c>
      <c r="D35" s="431"/>
      <c r="E35" s="431"/>
      <c r="F35" s="402">
        <f t="shared" si="4"/>
        <v>1900</v>
      </c>
      <c r="G35" s="438">
        <f t="shared" si="5"/>
        <v>1</v>
      </c>
      <c r="H35" s="376"/>
      <c r="I35" s="504">
        <f t="shared" si="6"/>
        <v>0</v>
      </c>
      <c r="J35" s="504">
        <f t="shared" si="7"/>
        <v>0</v>
      </c>
      <c r="K35" s="504">
        <f t="shared" si="8"/>
        <v>0</v>
      </c>
      <c r="L35" s="504">
        <f t="shared" si="9"/>
        <v>0</v>
      </c>
      <c r="M35" s="504">
        <f t="shared" si="0"/>
        <v>0</v>
      </c>
      <c r="N35" s="504">
        <f t="shared" si="0"/>
        <v>0</v>
      </c>
      <c r="O35" s="504">
        <f t="shared" si="0"/>
        <v>0</v>
      </c>
      <c r="P35" s="504">
        <f t="shared" si="10"/>
        <v>0</v>
      </c>
      <c r="Q35" s="504">
        <f t="shared" si="1"/>
        <v>0</v>
      </c>
      <c r="R35" s="504">
        <f t="shared" si="1"/>
        <v>0</v>
      </c>
      <c r="S35" s="504">
        <f t="shared" si="1"/>
        <v>0</v>
      </c>
      <c r="T35" s="504">
        <f t="shared" si="11"/>
        <v>0</v>
      </c>
      <c r="U35" s="504">
        <f t="shared" si="11"/>
        <v>0</v>
      </c>
      <c r="V35" s="504">
        <f t="shared" si="11"/>
        <v>0</v>
      </c>
      <c r="W35" s="504">
        <f t="shared" si="11"/>
        <v>0</v>
      </c>
      <c r="X35" s="504">
        <f t="shared" si="12"/>
        <v>0</v>
      </c>
      <c r="Y35" s="504">
        <f t="shared" si="12"/>
        <v>0</v>
      </c>
      <c r="Z35" s="504">
        <f t="shared" si="12"/>
        <v>0</v>
      </c>
      <c r="AA35" s="504">
        <f t="shared" si="12"/>
        <v>0</v>
      </c>
      <c r="AB35" s="137">
        <f t="shared" si="13"/>
        <v>0</v>
      </c>
    </row>
    <row r="36" spans="2:28" ht="12.75">
      <c r="B36" s="446" t="s">
        <v>85</v>
      </c>
      <c r="C36" s="430">
        <f>SUMIF('Serial adaptation'!$B$16:$B$66,'Liquidity requirement Serial ad'!$B36,'Serial adaptation'!$H$16:$H$66)*1.5+SUMIF('Serial adaptation'!$B$75:$B$125,'Liquidity requirement Serial ad'!B36,'Serial adaptation'!$H$75:$H$125)+SUMIF('Serial adaptation'!$B$132:$B$181,'Liquidity requirement Serial ad'!B36,'Serial adaptation'!$H$132:$H$181)+SUMIF('Serial adaptation'!$B$188:$B$245,'Liquidity requirement Serial ad'!B36,'Serial adaptation'!$H$188:$H$245)</f>
        <v>0</v>
      </c>
      <c r="D36" s="431"/>
      <c r="E36" s="431"/>
      <c r="F36" s="402">
        <f t="shared" si="4"/>
        <v>1900</v>
      </c>
      <c r="G36" s="438">
        <f t="shared" si="5"/>
        <v>1</v>
      </c>
      <c r="H36" s="376"/>
      <c r="I36" s="504">
        <f t="shared" si="6"/>
        <v>0</v>
      </c>
      <c r="J36" s="504">
        <f t="shared" si="7"/>
        <v>0</v>
      </c>
      <c r="K36" s="504">
        <f t="shared" si="8"/>
        <v>0</v>
      </c>
      <c r="L36" s="504">
        <f t="shared" si="9"/>
        <v>0</v>
      </c>
      <c r="M36" s="504">
        <f t="shared" si="0"/>
        <v>0</v>
      </c>
      <c r="N36" s="504">
        <f t="shared" si="0"/>
        <v>0</v>
      </c>
      <c r="O36" s="504">
        <f t="shared" si="0"/>
        <v>0</v>
      </c>
      <c r="P36" s="504">
        <f t="shared" si="10"/>
        <v>0</v>
      </c>
      <c r="Q36" s="504">
        <f t="shared" si="1"/>
        <v>0</v>
      </c>
      <c r="R36" s="504">
        <f t="shared" si="1"/>
        <v>0</v>
      </c>
      <c r="S36" s="504">
        <f t="shared" si="1"/>
        <v>0</v>
      </c>
      <c r="T36" s="504">
        <f t="shared" si="11"/>
        <v>0</v>
      </c>
      <c r="U36" s="504">
        <f t="shared" si="11"/>
        <v>0</v>
      </c>
      <c r="V36" s="504">
        <f t="shared" si="11"/>
        <v>0</v>
      </c>
      <c r="W36" s="504">
        <f t="shared" si="11"/>
        <v>0</v>
      </c>
      <c r="X36" s="504">
        <f t="shared" si="12"/>
        <v>0</v>
      </c>
      <c r="Y36" s="504">
        <f t="shared" si="12"/>
        <v>0</v>
      </c>
      <c r="Z36" s="504">
        <f t="shared" si="12"/>
        <v>0</v>
      </c>
      <c r="AA36" s="504">
        <f t="shared" si="12"/>
        <v>0</v>
      </c>
      <c r="AB36" s="137">
        <f t="shared" si="13"/>
        <v>0</v>
      </c>
    </row>
    <row r="37" spans="2:28" ht="12.75">
      <c r="B37" s="446" t="s">
        <v>86</v>
      </c>
      <c r="C37" s="430">
        <f>SUMIF('Serial adaptation'!$B$16:$B$66,'Liquidity requirement Serial ad'!$B37,'Serial adaptation'!$H$16:$H$66)*1.5+SUMIF('Serial adaptation'!$B$75:$B$125,'Liquidity requirement Serial ad'!B37,'Serial adaptation'!$H$75:$H$125)+SUMIF('Serial adaptation'!$B$132:$B$181,'Liquidity requirement Serial ad'!B37,'Serial adaptation'!$H$132:$H$181)+SUMIF('Serial adaptation'!$B$188:$B$245,'Liquidity requirement Serial ad'!B37,'Serial adaptation'!$H$188:$H$245)</f>
        <v>0</v>
      </c>
      <c r="D37" s="431"/>
      <c r="E37" s="431"/>
      <c r="F37" s="402">
        <f t="shared" si="4"/>
        <v>1900</v>
      </c>
      <c r="G37" s="438">
        <f t="shared" si="5"/>
        <v>1</v>
      </c>
      <c r="H37" s="376"/>
      <c r="I37" s="504">
        <f t="shared" si="6"/>
        <v>0</v>
      </c>
      <c r="J37" s="504">
        <f t="shared" si="7"/>
        <v>0</v>
      </c>
      <c r="K37" s="504">
        <f t="shared" si="8"/>
        <v>0</v>
      </c>
      <c r="L37" s="504">
        <f t="shared" si="9"/>
        <v>0</v>
      </c>
      <c r="M37" s="504">
        <f t="shared" si="0"/>
        <v>0</v>
      </c>
      <c r="N37" s="504">
        <f t="shared" si="0"/>
        <v>0</v>
      </c>
      <c r="O37" s="504">
        <f t="shared" si="0"/>
        <v>0</v>
      </c>
      <c r="P37" s="504">
        <f t="shared" si="10"/>
        <v>0</v>
      </c>
      <c r="Q37" s="504">
        <f t="shared" si="1"/>
        <v>0</v>
      </c>
      <c r="R37" s="504">
        <f t="shared" si="1"/>
        <v>0</v>
      </c>
      <c r="S37" s="504">
        <f t="shared" si="1"/>
        <v>0</v>
      </c>
      <c r="T37" s="504">
        <f t="shared" si="11"/>
        <v>0</v>
      </c>
      <c r="U37" s="504">
        <f t="shared" si="11"/>
        <v>0</v>
      </c>
      <c r="V37" s="504">
        <f t="shared" si="11"/>
        <v>0</v>
      </c>
      <c r="W37" s="504">
        <f t="shared" si="11"/>
        <v>0</v>
      </c>
      <c r="X37" s="504">
        <f t="shared" si="12"/>
        <v>0</v>
      </c>
      <c r="Y37" s="504">
        <f t="shared" si="12"/>
        <v>0</v>
      </c>
      <c r="Z37" s="504">
        <f t="shared" si="12"/>
        <v>0</v>
      </c>
      <c r="AA37" s="504">
        <f t="shared" si="12"/>
        <v>0</v>
      </c>
      <c r="AB37" s="137">
        <f t="shared" si="13"/>
        <v>0</v>
      </c>
    </row>
    <row r="38" spans="2:28" ht="12.75">
      <c r="B38" s="446" t="s">
        <v>87</v>
      </c>
      <c r="C38" s="430">
        <f>SUMIF('Serial adaptation'!$B$16:$B$66,'Liquidity requirement Serial ad'!$B38,'Serial adaptation'!$H$16:$H$66)*1.5+SUMIF('Serial adaptation'!$B$75:$B$125,'Liquidity requirement Serial ad'!B38,'Serial adaptation'!$H$75:$H$125)+SUMIF('Serial adaptation'!$B$132:$B$181,'Liquidity requirement Serial ad'!B38,'Serial adaptation'!$H$132:$H$181)+SUMIF('Serial adaptation'!$B$188:$B$245,'Liquidity requirement Serial ad'!B38,'Serial adaptation'!$H$188:$H$245)</f>
        <v>0</v>
      </c>
      <c r="D38" s="431"/>
      <c r="E38" s="431"/>
      <c r="F38" s="402">
        <f t="shared" si="4"/>
        <v>1900</v>
      </c>
      <c r="G38" s="438">
        <f t="shared" si="5"/>
        <v>1</v>
      </c>
      <c r="H38" s="376"/>
      <c r="I38" s="504">
        <f t="shared" si="6"/>
        <v>0</v>
      </c>
      <c r="J38" s="504">
        <f t="shared" si="7"/>
        <v>0</v>
      </c>
      <c r="K38" s="504">
        <f t="shared" si="8"/>
        <v>0</v>
      </c>
      <c r="L38" s="504">
        <f t="shared" si="9"/>
        <v>0</v>
      </c>
      <c r="M38" s="504">
        <f t="shared" si="9"/>
        <v>0</v>
      </c>
      <c r="N38" s="504">
        <f t="shared" si="9"/>
        <v>0</v>
      </c>
      <c r="O38" s="504">
        <f t="shared" si="9"/>
        <v>0</v>
      </c>
      <c r="P38" s="504">
        <f t="shared" si="10"/>
        <v>0</v>
      </c>
      <c r="Q38" s="504">
        <f t="shared" si="10"/>
        <v>0</v>
      </c>
      <c r="R38" s="504">
        <f t="shared" si="10"/>
        <v>0</v>
      </c>
      <c r="S38" s="504">
        <f t="shared" si="10"/>
        <v>0</v>
      </c>
      <c r="T38" s="504">
        <f t="shared" si="11"/>
        <v>0</v>
      </c>
      <c r="U38" s="504">
        <f t="shared" si="11"/>
        <v>0</v>
      </c>
      <c r="V38" s="504">
        <f t="shared" si="11"/>
        <v>0</v>
      </c>
      <c r="W38" s="504">
        <f t="shared" si="11"/>
        <v>0</v>
      </c>
      <c r="X38" s="504">
        <f t="shared" si="12"/>
        <v>0</v>
      </c>
      <c r="Y38" s="504">
        <f t="shared" si="12"/>
        <v>0</v>
      </c>
      <c r="Z38" s="504">
        <f t="shared" si="12"/>
        <v>0</v>
      </c>
      <c r="AA38" s="504">
        <f t="shared" si="12"/>
        <v>0</v>
      </c>
      <c r="AB38" s="137">
        <f t="shared" si="13"/>
        <v>0</v>
      </c>
    </row>
    <row r="39" spans="2:28" ht="12.75">
      <c r="B39" s="446" t="s">
        <v>88</v>
      </c>
      <c r="C39" s="430">
        <f>SUMIF('Serial adaptation'!$B$16:$B$66,'Liquidity requirement Serial ad'!$B39,'Serial adaptation'!$H$16:$H$66)*1.5+SUMIF('Serial adaptation'!$B$75:$B$125,'Liquidity requirement Serial ad'!B39,'Serial adaptation'!$H$75:$H$125)+SUMIF('Serial adaptation'!$B$132:$B$181,'Liquidity requirement Serial ad'!B39,'Serial adaptation'!$H$132:$H$181)+SUMIF('Serial adaptation'!$B$188:$B$245,'Liquidity requirement Serial ad'!B39,'Serial adaptation'!$H$188:$H$245)</f>
        <v>0</v>
      </c>
      <c r="D39" s="431"/>
      <c r="E39" s="431"/>
      <c r="F39" s="402">
        <f t="shared" si="4"/>
        <v>1900</v>
      </c>
      <c r="G39" s="438">
        <f t="shared" si="5"/>
        <v>1</v>
      </c>
      <c r="H39" s="376"/>
      <c r="I39" s="504">
        <f t="shared" si="6"/>
        <v>0</v>
      </c>
      <c r="J39" s="504">
        <f t="shared" si="7"/>
        <v>0</v>
      </c>
      <c r="K39" s="504">
        <f t="shared" si="8"/>
        <v>0</v>
      </c>
      <c r="L39" s="504">
        <f t="shared" si="9"/>
        <v>0</v>
      </c>
      <c r="M39" s="504">
        <f t="shared" si="9"/>
        <v>0</v>
      </c>
      <c r="N39" s="504">
        <f t="shared" si="9"/>
        <v>0</v>
      </c>
      <c r="O39" s="504">
        <f t="shared" si="9"/>
        <v>0</v>
      </c>
      <c r="P39" s="504">
        <f t="shared" si="10"/>
        <v>0</v>
      </c>
      <c r="Q39" s="504">
        <f t="shared" si="10"/>
        <v>0</v>
      </c>
      <c r="R39" s="504">
        <f t="shared" si="10"/>
        <v>0</v>
      </c>
      <c r="S39" s="504">
        <f t="shared" si="10"/>
        <v>0</v>
      </c>
      <c r="T39" s="504">
        <f t="shared" si="11"/>
        <v>0</v>
      </c>
      <c r="U39" s="504">
        <f t="shared" si="11"/>
        <v>0</v>
      </c>
      <c r="V39" s="504">
        <f t="shared" si="11"/>
        <v>0</v>
      </c>
      <c r="W39" s="504">
        <f t="shared" si="11"/>
        <v>0</v>
      </c>
      <c r="X39" s="504">
        <f t="shared" si="12"/>
        <v>0</v>
      </c>
      <c r="Y39" s="504">
        <f t="shared" si="12"/>
        <v>0</v>
      </c>
      <c r="Z39" s="504">
        <f t="shared" si="12"/>
        <v>0</v>
      </c>
      <c r="AA39" s="504">
        <f t="shared" si="12"/>
        <v>0</v>
      </c>
      <c r="AB39" s="137">
        <f t="shared" si="13"/>
        <v>0</v>
      </c>
    </row>
    <row r="40" spans="2:28" ht="12.75">
      <c r="B40" s="446" t="s">
        <v>89</v>
      </c>
      <c r="C40" s="430">
        <f>SUMIF('Serial adaptation'!$B$16:$B$66,'Liquidity requirement Serial ad'!$B40,'Serial adaptation'!$H$16:$H$66)*1.5+SUMIF('Serial adaptation'!$B$75:$B$125,'Liquidity requirement Serial ad'!B40,'Serial adaptation'!$H$75:$H$125)+SUMIF('Serial adaptation'!$B$132:$B$181,'Liquidity requirement Serial ad'!B40,'Serial adaptation'!$H$132:$H$181)+SUMIF('Serial adaptation'!$B$188:$B$245,'Liquidity requirement Serial ad'!B40,'Serial adaptation'!$H$188:$H$245)</f>
        <v>0</v>
      </c>
      <c r="D40" s="431"/>
      <c r="E40" s="431"/>
      <c r="F40" s="402">
        <f t="shared" si="4"/>
        <v>1900</v>
      </c>
      <c r="G40" s="438">
        <f t="shared" si="5"/>
        <v>1</v>
      </c>
      <c r="H40" s="376"/>
      <c r="I40" s="504">
        <f t="shared" si="6"/>
        <v>0</v>
      </c>
      <c r="J40" s="504">
        <f t="shared" si="7"/>
        <v>0</v>
      </c>
      <c r="K40" s="504">
        <f t="shared" si="8"/>
        <v>0</v>
      </c>
      <c r="L40" s="504">
        <f t="shared" si="9"/>
        <v>0</v>
      </c>
      <c r="M40" s="504">
        <f t="shared" si="9"/>
        <v>0</v>
      </c>
      <c r="N40" s="504">
        <f t="shared" si="9"/>
        <v>0</v>
      </c>
      <c r="O40" s="504">
        <f t="shared" si="9"/>
        <v>0</v>
      </c>
      <c r="P40" s="504">
        <f t="shared" si="10"/>
        <v>0</v>
      </c>
      <c r="Q40" s="504">
        <f t="shared" si="10"/>
        <v>0</v>
      </c>
      <c r="R40" s="504">
        <f t="shared" si="10"/>
        <v>0</v>
      </c>
      <c r="S40" s="504">
        <f t="shared" si="10"/>
        <v>0</v>
      </c>
      <c r="T40" s="504">
        <f t="shared" si="11"/>
        <v>0</v>
      </c>
      <c r="U40" s="504">
        <f t="shared" si="11"/>
        <v>0</v>
      </c>
      <c r="V40" s="504">
        <f t="shared" si="11"/>
        <v>0</v>
      </c>
      <c r="W40" s="504">
        <f t="shared" si="11"/>
        <v>0</v>
      </c>
      <c r="X40" s="504">
        <f t="shared" si="12"/>
        <v>0</v>
      </c>
      <c r="Y40" s="504">
        <f t="shared" si="12"/>
        <v>0</v>
      </c>
      <c r="Z40" s="504">
        <f t="shared" si="12"/>
        <v>0</v>
      </c>
      <c r="AA40" s="504">
        <f t="shared" si="12"/>
        <v>0</v>
      </c>
      <c r="AB40" s="137">
        <f t="shared" si="13"/>
        <v>0</v>
      </c>
    </row>
    <row r="41" spans="2:28" ht="12.75">
      <c r="B41" s="446" t="s">
        <v>90</v>
      </c>
      <c r="C41" s="430">
        <f>SUMIF('Serial adaptation'!$B$16:$B$66,'Liquidity requirement Serial ad'!$B41,'Serial adaptation'!$H$16:$H$66)*1.5+SUMIF('Serial adaptation'!$B$75:$B$125,'Liquidity requirement Serial ad'!B41,'Serial adaptation'!$H$75:$H$125)+SUMIF('Serial adaptation'!$B$132:$B$181,'Liquidity requirement Serial ad'!B41,'Serial adaptation'!$H$132:$H$181)+SUMIF('Serial adaptation'!$B$188:$B$245,'Liquidity requirement Serial ad'!B41,'Serial adaptation'!$H$188:$H$245)</f>
        <v>0</v>
      </c>
      <c r="D41" s="431"/>
      <c r="E41" s="431"/>
      <c r="F41" s="402">
        <f t="shared" si="4"/>
        <v>1900</v>
      </c>
      <c r="G41" s="438">
        <f t="shared" si="5"/>
        <v>1</v>
      </c>
      <c r="H41" s="376"/>
      <c r="I41" s="504">
        <f t="shared" si="6"/>
        <v>0</v>
      </c>
      <c r="J41" s="504">
        <f t="shared" si="7"/>
        <v>0</v>
      </c>
      <c r="K41" s="504">
        <f t="shared" si="8"/>
        <v>0</v>
      </c>
      <c r="L41" s="504">
        <f t="shared" si="9"/>
        <v>0</v>
      </c>
      <c r="M41" s="504">
        <f t="shared" si="9"/>
        <v>0</v>
      </c>
      <c r="N41" s="504">
        <f t="shared" si="9"/>
        <v>0</v>
      </c>
      <c r="O41" s="504">
        <f t="shared" si="9"/>
        <v>0</v>
      </c>
      <c r="P41" s="504">
        <f t="shared" si="10"/>
        <v>0</v>
      </c>
      <c r="Q41" s="504">
        <f t="shared" si="10"/>
        <v>0</v>
      </c>
      <c r="R41" s="504">
        <f t="shared" si="10"/>
        <v>0</v>
      </c>
      <c r="S41" s="504">
        <f t="shared" si="10"/>
        <v>0</v>
      </c>
      <c r="T41" s="504">
        <f t="shared" si="11"/>
        <v>0</v>
      </c>
      <c r="U41" s="504">
        <f t="shared" si="11"/>
        <v>0</v>
      </c>
      <c r="V41" s="504">
        <f t="shared" si="11"/>
        <v>0</v>
      </c>
      <c r="W41" s="504">
        <f t="shared" si="11"/>
        <v>0</v>
      </c>
      <c r="X41" s="504">
        <f t="shared" si="12"/>
        <v>0</v>
      </c>
      <c r="Y41" s="504">
        <f t="shared" si="12"/>
        <v>0</v>
      </c>
      <c r="Z41" s="504">
        <f t="shared" si="12"/>
        <v>0</v>
      </c>
      <c r="AA41" s="504">
        <f t="shared" si="12"/>
        <v>0</v>
      </c>
      <c r="AB41" s="137">
        <f t="shared" si="13"/>
        <v>0</v>
      </c>
    </row>
    <row r="42" spans="2:28" ht="12.75">
      <c r="B42" s="446" t="s">
        <v>91</v>
      </c>
      <c r="C42" s="430">
        <f>SUMIF('Serial adaptation'!$B$16:$B$66,'Liquidity requirement Serial ad'!$B42,'Serial adaptation'!$H$16:$H$66)*1.5+SUMIF('Serial adaptation'!$B$75:$B$125,'Liquidity requirement Serial ad'!B42,'Serial adaptation'!$H$75:$H$125)+SUMIF('Serial adaptation'!$B$132:$B$181,'Liquidity requirement Serial ad'!B42,'Serial adaptation'!$H$132:$H$181)+SUMIF('Serial adaptation'!$B$188:$B$245,'Liquidity requirement Serial ad'!B42,'Serial adaptation'!$H$188:$H$245)</f>
        <v>0</v>
      </c>
      <c r="D42" s="431"/>
      <c r="E42" s="431"/>
      <c r="F42" s="402">
        <f t="shared" si="4"/>
        <v>1900</v>
      </c>
      <c r="G42" s="438">
        <f t="shared" si="5"/>
        <v>1</v>
      </c>
      <c r="H42" s="376"/>
      <c r="I42" s="504">
        <f t="shared" si="6"/>
        <v>0</v>
      </c>
      <c r="J42" s="504">
        <f t="shared" si="7"/>
        <v>0</v>
      </c>
      <c r="K42" s="504">
        <f t="shared" si="8"/>
        <v>0</v>
      </c>
      <c r="L42" s="504">
        <f t="shared" si="9"/>
        <v>0</v>
      </c>
      <c r="M42" s="504">
        <f t="shared" si="9"/>
        <v>0</v>
      </c>
      <c r="N42" s="504">
        <f t="shared" si="9"/>
        <v>0</v>
      </c>
      <c r="O42" s="504">
        <f t="shared" si="9"/>
        <v>0</v>
      </c>
      <c r="P42" s="504">
        <f t="shared" si="10"/>
        <v>0</v>
      </c>
      <c r="Q42" s="504">
        <f t="shared" si="10"/>
        <v>0</v>
      </c>
      <c r="R42" s="504">
        <f t="shared" si="10"/>
        <v>0</v>
      </c>
      <c r="S42" s="504">
        <f t="shared" si="10"/>
        <v>0</v>
      </c>
      <c r="T42" s="504">
        <f t="shared" si="11"/>
        <v>0</v>
      </c>
      <c r="U42" s="504">
        <f t="shared" si="11"/>
        <v>0</v>
      </c>
      <c r="V42" s="504">
        <f t="shared" si="11"/>
        <v>0</v>
      </c>
      <c r="W42" s="504">
        <f t="shared" si="11"/>
        <v>0</v>
      </c>
      <c r="X42" s="504">
        <f t="shared" si="12"/>
        <v>0</v>
      </c>
      <c r="Y42" s="504">
        <f t="shared" si="12"/>
        <v>0</v>
      </c>
      <c r="Z42" s="504">
        <f t="shared" si="12"/>
        <v>0</v>
      </c>
      <c r="AA42" s="504">
        <f t="shared" si="12"/>
        <v>0</v>
      </c>
      <c r="AB42" s="137">
        <f t="shared" si="13"/>
        <v>0</v>
      </c>
    </row>
    <row r="43" spans="2:28" ht="12.75">
      <c r="B43" s="446" t="s">
        <v>92</v>
      </c>
      <c r="C43" s="430">
        <f>SUMIF('Serial adaptation'!$B$16:$B$66,'Liquidity requirement Serial ad'!$B43,'Serial adaptation'!$H$16:$H$66)*1.5+SUMIF('Serial adaptation'!$B$75:$B$125,'Liquidity requirement Serial ad'!B43,'Serial adaptation'!$H$75:$H$125)+SUMIF('Serial adaptation'!$B$132:$B$181,'Liquidity requirement Serial ad'!B43,'Serial adaptation'!$H$132:$H$181)+SUMIF('Serial adaptation'!$B$188:$B$245,'Liquidity requirement Serial ad'!B43,'Serial adaptation'!$H$188:$H$245)</f>
        <v>0</v>
      </c>
      <c r="D43" s="431"/>
      <c r="E43" s="431"/>
      <c r="F43" s="402">
        <f t="shared" si="4"/>
        <v>1900</v>
      </c>
      <c r="G43" s="438">
        <f t="shared" si="5"/>
        <v>1</v>
      </c>
      <c r="H43" s="376"/>
      <c r="I43" s="504">
        <f t="shared" si="6"/>
        <v>0</v>
      </c>
      <c r="J43" s="504">
        <f t="shared" si="7"/>
        <v>0</v>
      </c>
      <c r="K43" s="504">
        <f t="shared" si="8"/>
        <v>0</v>
      </c>
      <c r="L43" s="504">
        <f t="shared" si="9"/>
        <v>0</v>
      </c>
      <c r="M43" s="504">
        <f t="shared" si="9"/>
        <v>0</v>
      </c>
      <c r="N43" s="504">
        <f t="shared" si="9"/>
        <v>0</v>
      </c>
      <c r="O43" s="504">
        <f t="shared" si="9"/>
        <v>0</v>
      </c>
      <c r="P43" s="504">
        <f t="shared" si="10"/>
        <v>0</v>
      </c>
      <c r="Q43" s="504">
        <f t="shared" si="10"/>
        <v>0</v>
      </c>
      <c r="R43" s="504">
        <f t="shared" si="10"/>
        <v>0</v>
      </c>
      <c r="S43" s="504">
        <f t="shared" si="10"/>
        <v>0</v>
      </c>
      <c r="T43" s="504">
        <f t="shared" si="11"/>
        <v>0</v>
      </c>
      <c r="U43" s="504">
        <f t="shared" si="11"/>
        <v>0</v>
      </c>
      <c r="V43" s="504">
        <f t="shared" si="11"/>
        <v>0</v>
      </c>
      <c r="W43" s="504">
        <f t="shared" si="11"/>
        <v>0</v>
      </c>
      <c r="X43" s="504">
        <f t="shared" si="12"/>
        <v>0</v>
      </c>
      <c r="Y43" s="504">
        <f t="shared" si="12"/>
        <v>0</v>
      </c>
      <c r="Z43" s="504">
        <f t="shared" si="12"/>
        <v>0</v>
      </c>
      <c r="AA43" s="504">
        <f t="shared" si="12"/>
        <v>0</v>
      </c>
      <c r="AB43" s="137">
        <f t="shared" si="13"/>
        <v>0</v>
      </c>
    </row>
    <row r="44" spans="2:28" ht="12.75">
      <c r="B44" s="446" t="s">
        <v>93</v>
      </c>
      <c r="C44" s="430">
        <f>SUMIF('Serial adaptation'!$B$16:$B$66,'Liquidity requirement Serial ad'!$B44,'Serial adaptation'!$H$16:$H$66)*1.5+SUMIF('Serial adaptation'!$B$75:$B$125,'Liquidity requirement Serial ad'!B44,'Serial adaptation'!$H$75:$H$125)+SUMIF('Serial adaptation'!$B$132:$B$181,'Liquidity requirement Serial ad'!B44,'Serial adaptation'!$H$132:$H$181)+SUMIF('Serial adaptation'!$B$188:$B$245,'Liquidity requirement Serial ad'!B44,'Serial adaptation'!$H$188:$H$245)</f>
        <v>0</v>
      </c>
      <c r="D44" s="431"/>
      <c r="E44" s="431"/>
      <c r="F44" s="402">
        <f t="shared" si="4"/>
        <v>1900</v>
      </c>
      <c r="G44" s="438">
        <f t="shared" si="5"/>
        <v>1</v>
      </c>
      <c r="H44" s="376"/>
      <c r="I44" s="504">
        <f t="shared" si="6"/>
        <v>0</v>
      </c>
      <c r="J44" s="504">
        <f t="shared" si="7"/>
        <v>0</v>
      </c>
      <c r="K44" s="504">
        <f t="shared" si="8"/>
        <v>0</v>
      </c>
      <c r="L44" s="504">
        <f t="shared" si="9"/>
        <v>0</v>
      </c>
      <c r="M44" s="504">
        <f t="shared" si="9"/>
        <v>0</v>
      </c>
      <c r="N44" s="504">
        <f t="shared" si="9"/>
        <v>0</v>
      </c>
      <c r="O44" s="504">
        <f t="shared" si="9"/>
        <v>0</v>
      </c>
      <c r="P44" s="504">
        <f t="shared" si="10"/>
        <v>0</v>
      </c>
      <c r="Q44" s="504">
        <f t="shared" si="10"/>
        <v>0</v>
      </c>
      <c r="R44" s="504">
        <f t="shared" si="10"/>
        <v>0</v>
      </c>
      <c r="S44" s="504">
        <f t="shared" si="10"/>
        <v>0</v>
      </c>
      <c r="T44" s="504">
        <f t="shared" si="11"/>
        <v>0</v>
      </c>
      <c r="U44" s="504">
        <f t="shared" si="11"/>
        <v>0</v>
      </c>
      <c r="V44" s="504">
        <f t="shared" si="11"/>
        <v>0</v>
      </c>
      <c r="W44" s="504">
        <f t="shared" si="11"/>
        <v>0</v>
      </c>
      <c r="X44" s="504">
        <f t="shared" si="12"/>
        <v>0</v>
      </c>
      <c r="Y44" s="504">
        <f t="shared" si="12"/>
        <v>0</v>
      </c>
      <c r="Z44" s="504">
        <f t="shared" si="12"/>
        <v>0</v>
      </c>
      <c r="AA44" s="504">
        <f t="shared" si="12"/>
        <v>0</v>
      </c>
      <c r="AB44" s="137">
        <f t="shared" si="13"/>
        <v>0</v>
      </c>
    </row>
    <row r="45" spans="2:28" ht="12.75">
      <c r="B45" s="446" t="s">
        <v>94</v>
      </c>
      <c r="C45" s="430">
        <f>SUMIF('Serial adaptation'!$B$16:$B$66,'Liquidity requirement Serial ad'!$B45,'Serial adaptation'!$H$16:$H$66)*1.5+SUMIF('Serial adaptation'!$B$75:$B$125,'Liquidity requirement Serial ad'!B45,'Serial adaptation'!$H$75:$H$125)+SUMIF('Serial adaptation'!$B$132:$B$181,'Liquidity requirement Serial ad'!B45,'Serial adaptation'!$H$132:$H$181)+SUMIF('Serial adaptation'!$B$188:$B$245,'Liquidity requirement Serial ad'!B45,'Serial adaptation'!$H$188:$H$245)</f>
        <v>0</v>
      </c>
      <c r="D45" s="431"/>
      <c r="E45" s="431"/>
      <c r="F45" s="402">
        <f t="shared" si="4"/>
        <v>1900</v>
      </c>
      <c r="G45" s="438">
        <f t="shared" si="5"/>
        <v>1</v>
      </c>
      <c r="H45" s="376"/>
      <c r="I45" s="504">
        <f t="shared" si="6"/>
        <v>0</v>
      </c>
      <c r="J45" s="504">
        <f t="shared" si="7"/>
        <v>0</v>
      </c>
      <c r="K45" s="504">
        <f t="shared" si="8"/>
        <v>0</v>
      </c>
      <c r="L45" s="504">
        <f t="shared" si="9"/>
        <v>0</v>
      </c>
      <c r="M45" s="504">
        <f t="shared" si="9"/>
        <v>0</v>
      </c>
      <c r="N45" s="504">
        <f t="shared" si="9"/>
        <v>0</v>
      </c>
      <c r="O45" s="504">
        <f t="shared" si="9"/>
        <v>0</v>
      </c>
      <c r="P45" s="504">
        <f t="shared" si="10"/>
        <v>0</v>
      </c>
      <c r="Q45" s="504">
        <f t="shared" si="10"/>
        <v>0</v>
      </c>
      <c r="R45" s="504">
        <f t="shared" si="10"/>
        <v>0</v>
      </c>
      <c r="S45" s="504">
        <f t="shared" si="10"/>
        <v>0</v>
      </c>
      <c r="T45" s="504">
        <f t="shared" si="11"/>
        <v>0</v>
      </c>
      <c r="U45" s="504">
        <f t="shared" si="11"/>
        <v>0</v>
      </c>
      <c r="V45" s="504">
        <f t="shared" si="11"/>
        <v>0</v>
      </c>
      <c r="W45" s="504">
        <f t="shared" si="11"/>
        <v>0</v>
      </c>
      <c r="X45" s="504">
        <f t="shared" si="12"/>
        <v>0</v>
      </c>
      <c r="Y45" s="504">
        <f t="shared" si="12"/>
        <v>0</v>
      </c>
      <c r="Z45" s="504">
        <f t="shared" si="12"/>
        <v>0</v>
      </c>
      <c r="AA45" s="504">
        <f t="shared" si="12"/>
        <v>0</v>
      </c>
      <c r="AB45" s="137">
        <f t="shared" si="13"/>
        <v>0</v>
      </c>
    </row>
    <row r="46" spans="2:28" ht="12.75">
      <c r="B46" s="446" t="s">
        <v>95</v>
      </c>
      <c r="C46" s="430">
        <f>SUMIF('Serial adaptation'!$B$16:$B$66,'Liquidity requirement Serial ad'!$B46,'Serial adaptation'!$H$16:$H$66)*1.5+SUMIF('Serial adaptation'!$B$75:$B$125,'Liquidity requirement Serial ad'!B46,'Serial adaptation'!$H$75:$H$125)+SUMIF('Serial adaptation'!$B$132:$B$181,'Liquidity requirement Serial ad'!B46,'Serial adaptation'!$H$132:$H$181)+SUMIF('Serial adaptation'!$B$188:$B$245,'Liquidity requirement Serial ad'!B46,'Serial adaptation'!$H$188:$H$245)</f>
        <v>0</v>
      </c>
      <c r="D46" s="431"/>
      <c r="E46" s="431"/>
      <c r="F46" s="402">
        <f t="shared" si="4"/>
        <v>1900</v>
      </c>
      <c r="G46" s="438">
        <f t="shared" si="5"/>
        <v>1</v>
      </c>
      <c r="H46" s="376"/>
      <c r="I46" s="504">
        <f t="shared" si="6"/>
        <v>0</v>
      </c>
      <c r="J46" s="504">
        <f t="shared" si="7"/>
        <v>0</v>
      </c>
      <c r="K46" s="504">
        <f t="shared" si="8"/>
        <v>0</v>
      </c>
      <c r="L46" s="504">
        <f t="shared" si="9"/>
        <v>0</v>
      </c>
      <c r="M46" s="504">
        <f t="shared" si="9"/>
        <v>0</v>
      </c>
      <c r="N46" s="504">
        <f t="shared" si="9"/>
        <v>0</v>
      </c>
      <c r="O46" s="504">
        <f t="shared" si="9"/>
        <v>0</v>
      </c>
      <c r="P46" s="504">
        <f t="shared" si="10"/>
        <v>0</v>
      </c>
      <c r="Q46" s="504">
        <f t="shared" si="10"/>
        <v>0</v>
      </c>
      <c r="R46" s="504">
        <f t="shared" si="10"/>
        <v>0</v>
      </c>
      <c r="S46" s="504">
        <f t="shared" si="10"/>
        <v>0</v>
      </c>
      <c r="T46" s="504">
        <f t="shared" si="11"/>
        <v>0</v>
      </c>
      <c r="U46" s="504">
        <f t="shared" si="11"/>
        <v>0</v>
      </c>
      <c r="V46" s="504">
        <f t="shared" si="11"/>
        <v>0</v>
      </c>
      <c r="W46" s="504">
        <f t="shared" si="11"/>
        <v>0</v>
      </c>
      <c r="X46" s="504">
        <f t="shared" si="12"/>
        <v>0</v>
      </c>
      <c r="Y46" s="504">
        <f t="shared" si="12"/>
        <v>0</v>
      </c>
      <c r="Z46" s="504">
        <f t="shared" si="12"/>
        <v>0</v>
      </c>
      <c r="AA46" s="504">
        <f t="shared" si="12"/>
        <v>0</v>
      </c>
      <c r="AB46" s="137">
        <f t="shared" si="13"/>
        <v>0</v>
      </c>
    </row>
    <row r="47" spans="2:28" ht="12.75" outlineLevel="1">
      <c r="B47" s="446" t="s">
        <v>96</v>
      </c>
      <c r="C47" s="401">
        <f>SUMIF('Serial adaptation'!$B$16:$B$66,'Liquidity requirement Serial ad'!$B47,'Serial adaptation'!$H$16:$H$66)*1.5+SUMIF('Serial adaptation'!$B$75:$B$125,'Liquidity requirement Serial ad'!B47,'Serial adaptation'!$H$75:$H$125)+SUMIF('Serial adaptation'!$B$132:$B$181,'Liquidity requirement Serial ad'!B47,'Serial adaptation'!$H$132:$H$181)+SUMIF('Serial adaptation'!$B$188:$B$245,'Liquidity requirement Serial ad'!B47,'Serial adaptation'!$H$188:$H$245)</f>
        <v>0</v>
      </c>
      <c r="D47" s="431"/>
      <c r="E47" s="431"/>
      <c r="F47" s="402">
        <f t="shared" si="4"/>
        <v>1900</v>
      </c>
      <c r="G47" s="438">
        <f t="shared" si="5"/>
        <v>1</v>
      </c>
      <c r="H47" s="376"/>
      <c r="I47" s="504">
        <f t="shared" si="6"/>
        <v>0</v>
      </c>
      <c r="J47" s="504">
        <f t="shared" si="7"/>
        <v>0</v>
      </c>
      <c r="K47" s="504">
        <f t="shared" si="8"/>
        <v>0</v>
      </c>
      <c r="L47" s="504">
        <f t="shared" si="9"/>
        <v>0</v>
      </c>
      <c r="M47" s="504">
        <f t="shared" si="9"/>
        <v>0</v>
      </c>
      <c r="N47" s="504">
        <f t="shared" si="9"/>
        <v>0</v>
      </c>
      <c r="O47" s="504">
        <f t="shared" si="9"/>
        <v>0</v>
      </c>
      <c r="P47" s="504">
        <f t="shared" si="10"/>
        <v>0</v>
      </c>
      <c r="Q47" s="504">
        <f t="shared" si="10"/>
        <v>0</v>
      </c>
      <c r="R47" s="504">
        <f t="shared" si="10"/>
        <v>0</v>
      </c>
      <c r="S47" s="504">
        <f t="shared" si="10"/>
        <v>0</v>
      </c>
      <c r="T47" s="504">
        <f t="shared" si="11"/>
        <v>0</v>
      </c>
      <c r="U47" s="504">
        <f t="shared" si="11"/>
        <v>0</v>
      </c>
      <c r="V47" s="504">
        <f t="shared" si="11"/>
        <v>0</v>
      </c>
      <c r="W47" s="504">
        <f t="shared" si="11"/>
        <v>0</v>
      </c>
      <c r="X47" s="504">
        <f t="shared" si="12"/>
        <v>0</v>
      </c>
      <c r="Y47" s="504">
        <f t="shared" si="12"/>
        <v>0</v>
      </c>
      <c r="Z47" s="504">
        <f t="shared" si="12"/>
        <v>0</v>
      </c>
      <c r="AA47" s="504">
        <f t="shared" si="12"/>
        <v>0</v>
      </c>
      <c r="AB47" s="137">
        <f t="shared" si="13"/>
        <v>0</v>
      </c>
    </row>
    <row r="48" spans="2:28" ht="12.75" outlineLevel="1">
      <c r="B48" s="446" t="s">
        <v>97</v>
      </c>
      <c r="C48" s="401">
        <f>SUMIF('Serial adaptation'!$B$16:$B$66,'Liquidity requirement Serial ad'!$B48,'Serial adaptation'!$H$16:$H$66)*1.5+SUMIF('Serial adaptation'!$B$75:$B$125,'Liquidity requirement Serial ad'!B48,'Serial adaptation'!$H$75:$H$125)+SUMIF('Serial adaptation'!$B$132:$B$181,'Liquidity requirement Serial ad'!B48,'Serial adaptation'!$H$132:$H$181)+SUMIF('Serial adaptation'!$B$188:$B$245,'Liquidity requirement Serial ad'!B48,'Serial adaptation'!$H$188:$H$245)</f>
        <v>0</v>
      </c>
      <c r="D48" s="431"/>
      <c r="E48" s="431"/>
      <c r="F48" s="402">
        <f t="shared" si="4"/>
        <v>1900</v>
      </c>
      <c r="G48" s="438">
        <f t="shared" si="5"/>
        <v>1</v>
      </c>
      <c r="H48" s="376"/>
      <c r="I48" s="504">
        <f t="shared" si="6"/>
        <v>0</v>
      </c>
      <c r="J48" s="504">
        <f t="shared" si="7"/>
        <v>0</v>
      </c>
      <c r="K48" s="504">
        <f t="shared" si="8"/>
        <v>0</v>
      </c>
      <c r="L48" s="504">
        <f t="shared" si="9"/>
        <v>0</v>
      </c>
      <c r="M48" s="504">
        <f t="shared" si="9"/>
        <v>0</v>
      </c>
      <c r="N48" s="504">
        <f t="shared" si="9"/>
        <v>0</v>
      </c>
      <c r="O48" s="504">
        <f t="shared" si="9"/>
        <v>0</v>
      </c>
      <c r="P48" s="504">
        <f t="shared" si="10"/>
        <v>0</v>
      </c>
      <c r="Q48" s="504">
        <f t="shared" si="10"/>
        <v>0</v>
      </c>
      <c r="R48" s="504">
        <f t="shared" si="10"/>
        <v>0</v>
      </c>
      <c r="S48" s="504">
        <f t="shared" si="10"/>
        <v>0</v>
      </c>
      <c r="T48" s="504">
        <f t="shared" si="11"/>
        <v>0</v>
      </c>
      <c r="U48" s="504">
        <f t="shared" si="11"/>
        <v>0</v>
      </c>
      <c r="V48" s="504">
        <f t="shared" si="11"/>
        <v>0</v>
      </c>
      <c r="W48" s="504">
        <f t="shared" si="11"/>
        <v>0</v>
      </c>
      <c r="X48" s="504">
        <f t="shared" si="12"/>
        <v>0</v>
      </c>
      <c r="Y48" s="504">
        <f t="shared" si="12"/>
        <v>0</v>
      </c>
      <c r="Z48" s="504">
        <f t="shared" si="12"/>
        <v>0</v>
      </c>
      <c r="AA48" s="504">
        <f t="shared" si="12"/>
        <v>0</v>
      </c>
      <c r="AB48" s="137">
        <f t="shared" si="13"/>
        <v>0</v>
      </c>
    </row>
    <row r="49" spans="2:28" ht="12.75" outlineLevel="1">
      <c r="B49" s="446" t="s">
        <v>98</v>
      </c>
      <c r="C49" s="401">
        <f>SUMIF('Serial adaptation'!$B$16:$B$66,'Liquidity requirement Serial ad'!$B49,'Serial adaptation'!$H$16:$H$66)*1.5+SUMIF('Serial adaptation'!$B$75:$B$125,'Liquidity requirement Serial ad'!B49,'Serial adaptation'!$H$75:$H$125)+SUMIF('Serial adaptation'!$B$132:$B$181,'Liquidity requirement Serial ad'!B49,'Serial adaptation'!$H$132:$H$181)+SUMIF('Serial adaptation'!$B$188:$B$245,'Liquidity requirement Serial ad'!B49,'Serial adaptation'!$H$188:$H$245)</f>
        <v>0</v>
      </c>
      <c r="D49" s="431"/>
      <c r="E49" s="431"/>
      <c r="F49" s="402">
        <f t="shared" si="4"/>
        <v>1900</v>
      </c>
      <c r="G49" s="438">
        <f t="shared" si="5"/>
        <v>1</v>
      </c>
      <c r="H49" s="376"/>
      <c r="I49" s="504">
        <f t="shared" si="6"/>
        <v>0</v>
      </c>
      <c r="J49" s="504">
        <f t="shared" si="7"/>
        <v>0</v>
      </c>
      <c r="K49" s="504">
        <f t="shared" si="8"/>
        <v>0</v>
      </c>
      <c r="L49" s="504">
        <f t="shared" si="9"/>
        <v>0</v>
      </c>
      <c r="M49" s="504">
        <f t="shared" si="9"/>
        <v>0</v>
      </c>
      <c r="N49" s="504">
        <f t="shared" si="9"/>
        <v>0</v>
      </c>
      <c r="O49" s="504">
        <f t="shared" si="9"/>
        <v>0</v>
      </c>
      <c r="P49" s="504">
        <f t="shared" si="10"/>
        <v>0</v>
      </c>
      <c r="Q49" s="504">
        <f t="shared" si="10"/>
        <v>0</v>
      </c>
      <c r="R49" s="504">
        <f t="shared" si="10"/>
        <v>0</v>
      </c>
      <c r="S49" s="504">
        <f t="shared" si="10"/>
        <v>0</v>
      </c>
      <c r="T49" s="504">
        <f t="shared" si="11"/>
        <v>0</v>
      </c>
      <c r="U49" s="504">
        <f t="shared" si="11"/>
        <v>0</v>
      </c>
      <c r="V49" s="504">
        <f t="shared" si="11"/>
        <v>0</v>
      </c>
      <c r="W49" s="504">
        <f t="shared" si="11"/>
        <v>0</v>
      </c>
      <c r="X49" s="504">
        <f t="shared" si="12"/>
        <v>0</v>
      </c>
      <c r="Y49" s="504">
        <f t="shared" si="12"/>
        <v>0</v>
      </c>
      <c r="Z49" s="504">
        <f t="shared" si="12"/>
        <v>0</v>
      </c>
      <c r="AA49" s="504">
        <f t="shared" si="12"/>
        <v>0</v>
      </c>
      <c r="AB49" s="137">
        <f t="shared" si="13"/>
        <v>0</v>
      </c>
    </row>
    <row r="50" spans="2:28" ht="12.75" outlineLevel="1">
      <c r="B50" s="446" t="s">
        <v>99</v>
      </c>
      <c r="C50" s="401">
        <f>SUMIF('Serial adaptation'!$B$16:$B$66,'Liquidity requirement Serial ad'!$B50,'Serial adaptation'!$H$16:$H$66)*1.5+SUMIF('Serial adaptation'!$B$75:$B$125,'Liquidity requirement Serial ad'!B50,'Serial adaptation'!$H$75:$H$125)+SUMIF('Serial adaptation'!$B$132:$B$181,'Liquidity requirement Serial ad'!B50,'Serial adaptation'!$H$132:$H$181)+SUMIF('Serial adaptation'!$B$188:$B$245,'Liquidity requirement Serial ad'!B50,'Serial adaptation'!$H$188:$H$245)</f>
        <v>0</v>
      </c>
      <c r="D50" s="431"/>
      <c r="E50" s="431"/>
      <c r="F50" s="402">
        <f t="shared" si="4"/>
        <v>1900</v>
      </c>
      <c r="G50" s="438">
        <f t="shared" si="5"/>
        <v>1</v>
      </c>
      <c r="H50" s="376"/>
      <c r="I50" s="504">
        <f t="shared" si="6"/>
        <v>0</v>
      </c>
      <c r="J50" s="504">
        <f t="shared" si="7"/>
        <v>0</v>
      </c>
      <c r="K50" s="504">
        <f t="shared" si="8"/>
        <v>0</v>
      </c>
      <c r="L50" s="504">
        <f t="shared" si="9"/>
        <v>0</v>
      </c>
      <c r="M50" s="504">
        <f t="shared" si="9"/>
        <v>0</v>
      </c>
      <c r="N50" s="504">
        <f t="shared" si="9"/>
        <v>0</v>
      </c>
      <c r="O50" s="504">
        <f t="shared" si="9"/>
        <v>0</v>
      </c>
      <c r="P50" s="504">
        <f t="shared" si="10"/>
        <v>0</v>
      </c>
      <c r="Q50" s="504">
        <f t="shared" si="10"/>
        <v>0</v>
      </c>
      <c r="R50" s="504">
        <f t="shared" si="10"/>
        <v>0</v>
      </c>
      <c r="S50" s="504">
        <f t="shared" si="10"/>
        <v>0</v>
      </c>
      <c r="T50" s="504">
        <f t="shared" si="11"/>
        <v>0</v>
      </c>
      <c r="U50" s="504">
        <f t="shared" si="11"/>
        <v>0</v>
      </c>
      <c r="V50" s="504">
        <f t="shared" si="11"/>
        <v>0</v>
      </c>
      <c r="W50" s="504">
        <f t="shared" si="11"/>
        <v>0</v>
      </c>
      <c r="X50" s="504">
        <f t="shared" si="12"/>
        <v>0</v>
      </c>
      <c r="Y50" s="504">
        <f t="shared" si="12"/>
        <v>0</v>
      </c>
      <c r="Z50" s="504">
        <f t="shared" si="12"/>
        <v>0</v>
      </c>
      <c r="AA50" s="504">
        <f t="shared" si="12"/>
        <v>0</v>
      </c>
      <c r="AB50" s="137">
        <f t="shared" si="13"/>
        <v>0</v>
      </c>
    </row>
    <row r="51" spans="2:28" ht="12.75" outlineLevel="1">
      <c r="B51" s="446" t="s">
        <v>100</v>
      </c>
      <c r="C51" s="401">
        <f>SUMIF('Serial adaptation'!$B$16:$B$66,'Liquidity requirement Serial ad'!$B51,'Serial adaptation'!$H$16:$H$66)*1.5+SUMIF('Serial adaptation'!$B$75:$B$125,'Liquidity requirement Serial ad'!B51,'Serial adaptation'!$H$75:$H$125)+SUMIF('Serial adaptation'!$B$132:$B$181,'Liquidity requirement Serial ad'!B51,'Serial adaptation'!$H$132:$H$181)+SUMIF('Serial adaptation'!$B$188:$B$245,'Liquidity requirement Serial ad'!B51,'Serial adaptation'!$H$188:$H$245)</f>
        <v>0</v>
      </c>
      <c r="D51" s="431"/>
      <c r="E51" s="431"/>
      <c r="F51" s="402">
        <f t="shared" si="4"/>
        <v>1900</v>
      </c>
      <c r="G51" s="438">
        <f t="shared" si="5"/>
        <v>1</v>
      </c>
      <c r="H51" s="376"/>
      <c r="I51" s="504">
        <f t="shared" si="6"/>
        <v>0</v>
      </c>
      <c r="J51" s="504">
        <f t="shared" si="7"/>
        <v>0</v>
      </c>
      <c r="K51" s="504">
        <f t="shared" si="8"/>
        <v>0</v>
      </c>
      <c r="L51" s="504">
        <f t="shared" si="9"/>
        <v>0</v>
      </c>
      <c r="M51" s="504">
        <f t="shared" si="9"/>
        <v>0</v>
      </c>
      <c r="N51" s="504">
        <f t="shared" si="9"/>
        <v>0</v>
      </c>
      <c r="O51" s="504">
        <f t="shared" si="9"/>
        <v>0</v>
      </c>
      <c r="P51" s="504">
        <f t="shared" si="10"/>
        <v>0</v>
      </c>
      <c r="Q51" s="504">
        <f t="shared" si="10"/>
        <v>0</v>
      </c>
      <c r="R51" s="504">
        <f t="shared" si="10"/>
        <v>0</v>
      </c>
      <c r="S51" s="504">
        <f t="shared" si="10"/>
        <v>0</v>
      </c>
      <c r="T51" s="504">
        <f t="shared" si="11"/>
        <v>0</v>
      </c>
      <c r="U51" s="504">
        <f t="shared" si="11"/>
        <v>0</v>
      </c>
      <c r="V51" s="504">
        <f t="shared" si="11"/>
        <v>0</v>
      </c>
      <c r="W51" s="504">
        <f t="shared" si="11"/>
        <v>0</v>
      </c>
      <c r="X51" s="504">
        <f t="shared" si="12"/>
        <v>0</v>
      </c>
      <c r="Y51" s="504">
        <f t="shared" si="12"/>
        <v>0</v>
      </c>
      <c r="Z51" s="504">
        <f t="shared" si="12"/>
        <v>0</v>
      </c>
      <c r="AA51" s="504">
        <f t="shared" si="12"/>
        <v>0</v>
      </c>
      <c r="AB51" s="137">
        <f t="shared" si="13"/>
        <v>0</v>
      </c>
    </row>
    <row r="52" spans="2:28" ht="12.75" outlineLevel="1">
      <c r="B52" s="446" t="s">
        <v>101</v>
      </c>
      <c r="C52" s="401">
        <f>SUMIF('Serial adaptation'!$B$16:$B$66,'Liquidity requirement Serial ad'!$B52,'Serial adaptation'!$H$16:$H$66)*1.5+SUMIF('Serial adaptation'!$B$75:$B$125,'Liquidity requirement Serial ad'!B52,'Serial adaptation'!$H$75:$H$125)+SUMIF('Serial adaptation'!$B$132:$B$181,'Liquidity requirement Serial ad'!B52,'Serial adaptation'!$H$132:$H$181)+SUMIF('Serial adaptation'!$B$188:$B$245,'Liquidity requirement Serial ad'!B52,'Serial adaptation'!$H$188:$H$245)</f>
        <v>0</v>
      </c>
      <c r="D52" s="431"/>
      <c r="E52" s="431"/>
      <c r="F52" s="402">
        <f t="shared" si="4"/>
        <v>1900</v>
      </c>
      <c r="G52" s="438">
        <f t="shared" si="5"/>
        <v>1</v>
      </c>
      <c r="H52" s="376"/>
      <c r="I52" s="504">
        <f t="shared" si="6"/>
        <v>0</v>
      </c>
      <c r="J52" s="504">
        <f t="shared" si="7"/>
        <v>0</v>
      </c>
      <c r="K52" s="504">
        <f t="shared" si="8"/>
        <v>0</v>
      </c>
      <c r="L52" s="504">
        <f t="shared" si="9"/>
        <v>0</v>
      </c>
      <c r="M52" s="504">
        <f t="shared" si="9"/>
        <v>0</v>
      </c>
      <c r="N52" s="504">
        <f t="shared" si="9"/>
        <v>0</v>
      </c>
      <c r="O52" s="504">
        <f t="shared" si="9"/>
        <v>0</v>
      </c>
      <c r="P52" s="504">
        <f t="shared" si="10"/>
        <v>0</v>
      </c>
      <c r="Q52" s="504">
        <f t="shared" si="10"/>
        <v>0</v>
      </c>
      <c r="R52" s="504">
        <f t="shared" si="10"/>
        <v>0</v>
      </c>
      <c r="S52" s="504">
        <f t="shared" si="10"/>
        <v>0</v>
      </c>
      <c r="T52" s="504">
        <f t="shared" si="11"/>
        <v>0</v>
      </c>
      <c r="U52" s="504">
        <f t="shared" si="11"/>
        <v>0</v>
      </c>
      <c r="V52" s="504">
        <f t="shared" si="11"/>
        <v>0</v>
      </c>
      <c r="W52" s="504">
        <f t="shared" si="11"/>
        <v>0</v>
      </c>
      <c r="X52" s="504">
        <f t="shared" si="12"/>
        <v>0</v>
      </c>
      <c r="Y52" s="504">
        <f t="shared" si="12"/>
        <v>0</v>
      </c>
      <c r="Z52" s="504">
        <f t="shared" si="12"/>
        <v>0</v>
      </c>
      <c r="AA52" s="504">
        <f t="shared" si="12"/>
        <v>0</v>
      </c>
      <c r="AB52" s="137">
        <f t="shared" si="13"/>
        <v>0</v>
      </c>
    </row>
    <row r="53" spans="2:28" ht="12.75" outlineLevel="1">
      <c r="B53" s="446" t="s">
        <v>102</v>
      </c>
      <c r="C53" s="401">
        <f>SUMIF('Serial adaptation'!$B$16:$B$66,'Liquidity requirement Serial ad'!$B53,'Serial adaptation'!$H$16:$H$66)*1.5+SUMIF('Serial adaptation'!$B$75:$B$125,'Liquidity requirement Serial ad'!B53,'Serial adaptation'!$H$75:$H$125)+SUMIF('Serial adaptation'!$B$132:$B$181,'Liquidity requirement Serial ad'!B53,'Serial adaptation'!$H$132:$H$181)+SUMIF('Serial adaptation'!$B$188:$B$245,'Liquidity requirement Serial ad'!B53,'Serial adaptation'!$H$188:$H$245)</f>
        <v>0</v>
      </c>
      <c r="D53" s="431"/>
      <c r="E53" s="431"/>
      <c r="F53" s="402">
        <f t="shared" si="4"/>
        <v>1900</v>
      </c>
      <c r="G53" s="438">
        <f t="shared" si="5"/>
        <v>1</v>
      </c>
      <c r="H53" s="376"/>
      <c r="I53" s="504">
        <f t="shared" si="6"/>
        <v>0</v>
      </c>
      <c r="J53" s="504">
        <f t="shared" si="7"/>
        <v>0</v>
      </c>
      <c r="K53" s="504">
        <f t="shared" si="8"/>
        <v>0</v>
      </c>
      <c r="L53" s="504">
        <f t="shared" si="9"/>
        <v>0</v>
      </c>
      <c r="M53" s="504">
        <f t="shared" si="9"/>
        <v>0</v>
      </c>
      <c r="N53" s="504">
        <f t="shared" si="9"/>
        <v>0</v>
      </c>
      <c r="O53" s="504">
        <f t="shared" si="9"/>
        <v>0</v>
      </c>
      <c r="P53" s="504">
        <f t="shared" si="10"/>
        <v>0</v>
      </c>
      <c r="Q53" s="504">
        <f t="shared" si="10"/>
        <v>0</v>
      </c>
      <c r="R53" s="504">
        <f t="shared" si="10"/>
        <v>0</v>
      </c>
      <c r="S53" s="504">
        <f t="shared" si="10"/>
        <v>0</v>
      </c>
      <c r="T53" s="504">
        <f t="shared" si="11"/>
        <v>0</v>
      </c>
      <c r="U53" s="504">
        <f t="shared" si="11"/>
        <v>0</v>
      </c>
      <c r="V53" s="504">
        <f t="shared" si="11"/>
        <v>0</v>
      </c>
      <c r="W53" s="504">
        <f t="shared" si="11"/>
        <v>0</v>
      </c>
      <c r="X53" s="504">
        <f t="shared" si="12"/>
        <v>0</v>
      </c>
      <c r="Y53" s="504">
        <f t="shared" si="12"/>
        <v>0</v>
      </c>
      <c r="Z53" s="504">
        <f t="shared" si="12"/>
        <v>0</v>
      </c>
      <c r="AA53" s="504">
        <f t="shared" si="12"/>
        <v>0</v>
      </c>
      <c r="AB53" s="137">
        <f t="shared" si="13"/>
        <v>0</v>
      </c>
    </row>
    <row r="54" spans="2:28" ht="12.75" outlineLevel="1">
      <c r="B54" s="446" t="s">
        <v>103</v>
      </c>
      <c r="C54" s="401">
        <f>SUMIF('Serial adaptation'!$B$16:$B$66,'Liquidity requirement Serial ad'!$B54,'Serial adaptation'!$H$16:$H$66)*1.5+SUMIF('Serial adaptation'!$B$75:$B$125,'Liquidity requirement Serial ad'!B54,'Serial adaptation'!$H$75:$H$125)+SUMIF('Serial adaptation'!$B$132:$B$181,'Liquidity requirement Serial ad'!B54,'Serial adaptation'!$H$132:$H$181)+SUMIF('Serial adaptation'!$B$188:$B$245,'Liquidity requirement Serial ad'!B54,'Serial adaptation'!$H$188:$H$245)</f>
        <v>0</v>
      </c>
      <c r="D54" s="431"/>
      <c r="E54" s="431"/>
      <c r="F54" s="402">
        <f t="shared" si="4"/>
        <v>1900</v>
      </c>
      <c r="G54" s="438">
        <f t="shared" si="5"/>
        <v>1</v>
      </c>
      <c r="H54" s="376"/>
      <c r="I54" s="504">
        <f t="shared" si="6"/>
        <v>0</v>
      </c>
      <c r="J54" s="504">
        <f t="shared" si="7"/>
        <v>0</v>
      </c>
      <c r="K54" s="504">
        <f t="shared" si="8"/>
        <v>0</v>
      </c>
      <c r="L54" s="504">
        <f t="shared" si="9"/>
        <v>0</v>
      </c>
      <c r="M54" s="504">
        <f t="shared" si="9"/>
        <v>0</v>
      </c>
      <c r="N54" s="504">
        <f t="shared" si="9"/>
        <v>0</v>
      </c>
      <c r="O54" s="504">
        <f t="shared" si="9"/>
        <v>0</v>
      </c>
      <c r="P54" s="504">
        <f t="shared" si="10"/>
        <v>0</v>
      </c>
      <c r="Q54" s="504">
        <f t="shared" si="10"/>
        <v>0</v>
      </c>
      <c r="R54" s="504">
        <f t="shared" si="10"/>
        <v>0</v>
      </c>
      <c r="S54" s="504">
        <f t="shared" si="10"/>
        <v>0</v>
      </c>
      <c r="T54" s="504">
        <f t="shared" si="11"/>
        <v>0</v>
      </c>
      <c r="U54" s="504">
        <f t="shared" si="11"/>
        <v>0</v>
      </c>
      <c r="V54" s="504">
        <f t="shared" si="11"/>
        <v>0</v>
      </c>
      <c r="W54" s="504">
        <f t="shared" si="11"/>
        <v>0</v>
      </c>
      <c r="X54" s="504">
        <f t="shared" si="12"/>
        <v>0</v>
      </c>
      <c r="Y54" s="504">
        <f t="shared" si="12"/>
        <v>0</v>
      </c>
      <c r="Z54" s="504">
        <f t="shared" si="12"/>
        <v>0</v>
      </c>
      <c r="AA54" s="504">
        <f t="shared" si="12"/>
        <v>0</v>
      </c>
      <c r="AB54" s="137">
        <f t="shared" si="13"/>
        <v>0</v>
      </c>
    </row>
    <row r="55" spans="2:28" ht="12.75" outlineLevel="1">
      <c r="B55" s="446" t="s">
        <v>104</v>
      </c>
      <c r="C55" s="401">
        <f>SUMIF('Serial adaptation'!$B$16:$B$66,'Liquidity requirement Serial ad'!$B55,'Serial adaptation'!$H$16:$H$66)*1.5+SUMIF('Serial adaptation'!$B$75:$B$125,'Liquidity requirement Serial ad'!B55,'Serial adaptation'!$H$75:$H$125)+SUMIF('Serial adaptation'!$B$132:$B$181,'Liquidity requirement Serial ad'!B55,'Serial adaptation'!$H$132:$H$181)+SUMIF('Serial adaptation'!$B$188:$B$245,'Liquidity requirement Serial ad'!B55,'Serial adaptation'!$H$188:$H$245)</f>
        <v>0</v>
      </c>
      <c r="D55" s="431"/>
      <c r="E55" s="431"/>
      <c r="F55" s="402">
        <f t="shared" si="4"/>
        <v>1900</v>
      </c>
      <c r="G55" s="438">
        <f t="shared" si="5"/>
        <v>1</v>
      </c>
      <c r="H55" s="376"/>
      <c r="I55" s="504">
        <f t="shared" si="6"/>
        <v>0</v>
      </c>
      <c r="J55" s="504">
        <f t="shared" si="7"/>
        <v>0</v>
      </c>
      <c r="K55" s="504">
        <f t="shared" si="8"/>
        <v>0</v>
      </c>
      <c r="L55" s="504">
        <f t="shared" si="9"/>
        <v>0</v>
      </c>
      <c r="M55" s="504">
        <f t="shared" si="9"/>
        <v>0</v>
      </c>
      <c r="N55" s="504">
        <f t="shared" si="9"/>
        <v>0</v>
      </c>
      <c r="O55" s="504">
        <f t="shared" si="9"/>
        <v>0</v>
      </c>
      <c r="P55" s="504">
        <f t="shared" si="10"/>
        <v>0</v>
      </c>
      <c r="Q55" s="504">
        <f t="shared" si="10"/>
        <v>0</v>
      </c>
      <c r="R55" s="504">
        <f t="shared" si="10"/>
        <v>0</v>
      </c>
      <c r="S55" s="504">
        <f t="shared" si="10"/>
        <v>0</v>
      </c>
      <c r="T55" s="504">
        <f t="shared" si="11"/>
        <v>0</v>
      </c>
      <c r="U55" s="504">
        <f t="shared" si="11"/>
        <v>0</v>
      </c>
      <c r="V55" s="504">
        <f t="shared" si="11"/>
        <v>0</v>
      </c>
      <c r="W55" s="504">
        <f t="shared" si="11"/>
        <v>0</v>
      </c>
      <c r="X55" s="504">
        <f t="shared" si="12"/>
        <v>0</v>
      </c>
      <c r="Y55" s="504">
        <f t="shared" si="12"/>
        <v>0</v>
      </c>
      <c r="Z55" s="504">
        <f t="shared" si="12"/>
        <v>0</v>
      </c>
      <c r="AA55" s="504">
        <f t="shared" si="12"/>
        <v>0</v>
      </c>
      <c r="AB55" s="137">
        <f t="shared" si="13"/>
        <v>0</v>
      </c>
    </row>
    <row r="56" spans="2:28" ht="12.75" outlineLevel="1">
      <c r="B56" s="446" t="s">
        <v>105</v>
      </c>
      <c r="C56" s="401">
        <f>SUMIF('Serial adaptation'!$B$16:$B$66,'Liquidity requirement Serial ad'!$B56,'Serial adaptation'!$H$16:$H$66)*1.5+SUMIF('Serial adaptation'!$B$75:$B$125,'Liquidity requirement Serial ad'!B56,'Serial adaptation'!$H$75:$H$125)+SUMIF('Serial adaptation'!$B$132:$B$181,'Liquidity requirement Serial ad'!B56,'Serial adaptation'!$H$132:$H$181)+SUMIF('Serial adaptation'!$B$188:$B$245,'Liquidity requirement Serial ad'!B56,'Serial adaptation'!$H$188:$H$245)</f>
        <v>0</v>
      </c>
      <c r="D56" s="431"/>
      <c r="E56" s="431"/>
      <c r="F56" s="402">
        <f t="shared" si="4"/>
        <v>1900</v>
      </c>
      <c r="G56" s="438">
        <f t="shared" si="5"/>
        <v>1</v>
      </c>
      <c r="H56" s="376"/>
      <c r="I56" s="504">
        <f t="shared" si="6"/>
        <v>0</v>
      </c>
      <c r="J56" s="504">
        <f t="shared" si="7"/>
        <v>0</v>
      </c>
      <c r="K56" s="504">
        <f t="shared" si="8"/>
        <v>0</v>
      </c>
      <c r="L56" s="504">
        <f t="shared" si="9"/>
        <v>0</v>
      </c>
      <c r="M56" s="504">
        <f t="shared" si="9"/>
        <v>0</v>
      </c>
      <c r="N56" s="504">
        <f t="shared" si="9"/>
        <v>0</v>
      </c>
      <c r="O56" s="504">
        <f t="shared" si="9"/>
        <v>0</v>
      </c>
      <c r="P56" s="504">
        <f t="shared" si="10"/>
        <v>0</v>
      </c>
      <c r="Q56" s="504">
        <f t="shared" si="10"/>
        <v>0</v>
      </c>
      <c r="R56" s="504">
        <f t="shared" si="10"/>
        <v>0</v>
      </c>
      <c r="S56" s="504">
        <f t="shared" si="10"/>
        <v>0</v>
      </c>
      <c r="T56" s="504">
        <f t="shared" si="11"/>
        <v>0</v>
      </c>
      <c r="U56" s="504">
        <f t="shared" si="11"/>
        <v>0</v>
      </c>
      <c r="V56" s="504">
        <f t="shared" si="11"/>
        <v>0</v>
      </c>
      <c r="W56" s="504">
        <f t="shared" si="11"/>
        <v>0</v>
      </c>
      <c r="X56" s="504">
        <f t="shared" si="12"/>
        <v>0</v>
      </c>
      <c r="Y56" s="504">
        <f t="shared" si="12"/>
        <v>0</v>
      </c>
      <c r="Z56" s="504">
        <f t="shared" si="12"/>
        <v>0</v>
      </c>
      <c r="AA56" s="504">
        <f t="shared" si="12"/>
        <v>0</v>
      </c>
      <c r="AB56" s="137">
        <f t="shared" si="13"/>
        <v>0</v>
      </c>
    </row>
    <row r="57" spans="2:28" ht="12.75" outlineLevel="1">
      <c r="B57" s="446" t="s">
        <v>106</v>
      </c>
      <c r="C57" s="401">
        <f>SUMIF('Serial adaptation'!$B$16:$B$66,'Liquidity requirement Serial ad'!$B57,'Serial adaptation'!$H$16:$H$66)*1.5+SUMIF('Serial adaptation'!$B$75:$B$125,'Liquidity requirement Serial ad'!B57,'Serial adaptation'!$H$75:$H$125)+SUMIF('Serial adaptation'!$B$132:$B$181,'Liquidity requirement Serial ad'!B57,'Serial adaptation'!$H$132:$H$181)+SUMIF('Serial adaptation'!$B$188:$B$245,'Liquidity requirement Serial ad'!B57,'Serial adaptation'!$H$188:$H$245)</f>
        <v>0</v>
      </c>
      <c r="D57" s="431"/>
      <c r="E57" s="431"/>
      <c r="F57" s="402">
        <f t="shared" si="4"/>
        <v>1900</v>
      </c>
      <c r="G57" s="438">
        <f t="shared" si="5"/>
        <v>1</v>
      </c>
      <c r="H57" s="376"/>
      <c r="I57" s="504">
        <f t="shared" si="6"/>
        <v>0</v>
      </c>
      <c r="J57" s="504">
        <f t="shared" si="7"/>
        <v>0</v>
      </c>
      <c r="K57" s="504">
        <f t="shared" si="8"/>
        <v>0</v>
      </c>
      <c r="L57" s="504">
        <f t="shared" si="9"/>
        <v>0</v>
      </c>
      <c r="M57" s="504">
        <f t="shared" si="9"/>
        <v>0</v>
      </c>
      <c r="N57" s="504">
        <f t="shared" si="9"/>
        <v>0</v>
      </c>
      <c r="O57" s="504">
        <f t="shared" si="9"/>
        <v>0</v>
      </c>
      <c r="P57" s="504">
        <f t="shared" si="10"/>
        <v>0</v>
      </c>
      <c r="Q57" s="504">
        <f t="shared" si="10"/>
        <v>0</v>
      </c>
      <c r="R57" s="504">
        <f t="shared" si="10"/>
        <v>0</v>
      </c>
      <c r="S57" s="504">
        <f t="shared" si="10"/>
        <v>0</v>
      </c>
      <c r="T57" s="504">
        <f t="shared" si="11"/>
        <v>0</v>
      </c>
      <c r="U57" s="504">
        <f t="shared" si="11"/>
        <v>0</v>
      </c>
      <c r="V57" s="504">
        <f t="shared" si="11"/>
        <v>0</v>
      </c>
      <c r="W57" s="504">
        <f t="shared" si="11"/>
        <v>0</v>
      </c>
      <c r="X57" s="504">
        <f t="shared" si="12"/>
        <v>0</v>
      </c>
      <c r="Y57" s="504">
        <f t="shared" si="12"/>
        <v>0</v>
      </c>
      <c r="Z57" s="504">
        <f t="shared" si="12"/>
        <v>0</v>
      </c>
      <c r="AA57" s="504">
        <f t="shared" si="12"/>
        <v>0</v>
      </c>
      <c r="AB57" s="137">
        <f t="shared" si="13"/>
        <v>0</v>
      </c>
    </row>
    <row r="58" spans="2:28" ht="12.75" outlineLevel="1">
      <c r="B58" s="446" t="s">
        <v>107</v>
      </c>
      <c r="C58" s="401">
        <f>SUMIF('Serial adaptation'!$B$16:$B$66,'Liquidity requirement Serial ad'!$B58,'Serial adaptation'!$H$16:$H$66)*1.5+SUMIF('Serial adaptation'!$B$75:$B$125,'Liquidity requirement Serial ad'!B58,'Serial adaptation'!$H$75:$H$125)+SUMIF('Serial adaptation'!$B$132:$B$181,'Liquidity requirement Serial ad'!B58,'Serial adaptation'!$H$132:$H$181)+SUMIF('Serial adaptation'!$B$188:$B$245,'Liquidity requirement Serial ad'!B58,'Serial adaptation'!$H$188:$H$245)</f>
        <v>0</v>
      </c>
      <c r="D58" s="431"/>
      <c r="E58" s="431"/>
      <c r="F58" s="402">
        <f t="shared" si="4"/>
        <v>1900</v>
      </c>
      <c r="G58" s="438">
        <f t="shared" si="5"/>
        <v>1</v>
      </c>
      <c r="H58" s="376"/>
      <c r="I58" s="504">
        <f t="shared" si="6"/>
        <v>0</v>
      </c>
      <c r="J58" s="504">
        <f t="shared" si="7"/>
        <v>0</v>
      </c>
      <c r="K58" s="504">
        <f t="shared" si="8"/>
        <v>0</v>
      </c>
      <c r="L58" s="504">
        <f t="shared" si="9"/>
        <v>0</v>
      </c>
      <c r="M58" s="504">
        <f t="shared" si="9"/>
        <v>0</v>
      </c>
      <c r="N58" s="504">
        <f t="shared" si="9"/>
        <v>0</v>
      </c>
      <c r="O58" s="504">
        <f t="shared" si="9"/>
        <v>0</v>
      </c>
      <c r="P58" s="504">
        <f t="shared" si="10"/>
        <v>0</v>
      </c>
      <c r="Q58" s="504">
        <f t="shared" si="10"/>
        <v>0</v>
      </c>
      <c r="R58" s="504">
        <f t="shared" si="10"/>
        <v>0</v>
      </c>
      <c r="S58" s="504">
        <f t="shared" si="10"/>
        <v>0</v>
      </c>
      <c r="T58" s="504">
        <f t="shared" si="11"/>
        <v>0</v>
      </c>
      <c r="U58" s="504">
        <f t="shared" si="11"/>
        <v>0</v>
      </c>
      <c r="V58" s="504">
        <f t="shared" si="11"/>
        <v>0</v>
      </c>
      <c r="W58" s="504">
        <f t="shared" si="11"/>
        <v>0</v>
      </c>
      <c r="X58" s="504">
        <f t="shared" si="12"/>
        <v>0</v>
      </c>
      <c r="Y58" s="504">
        <f t="shared" si="12"/>
        <v>0</v>
      </c>
      <c r="Z58" s="504">
        <f t="shared" si="12"/>
        <v>0</v>
      </c>
      <c r="AA58" s="504">
        <f t="shared" si="12"/>
        <v>0</v>
      </c>
      <c r="AB58" s="137">
        <f t="shared" si="13"/>
        <v>0</v>
      </c>
    </row>
    <row r="59" spans="2:28" ht="12.75" outlineLevel="1">
      <c r="B59" s="446" t="s">
        <v>108</v>
      </c>
      <c r="C59" s="401">
        <f>SUMIF('Serial adaptation'!$B$16:$B$66,'Liquidity requirement Serial ad'!$B59,'Serial adaptation'!$H$16:$H$66)*1.5+SUMIF('Serial adaptation'!$B$75:$B$125,'Liquidity requirement Serial ad'!B59,'Serial adaptation'!$H$75:$H$125)+SUMIF('Serial adaptation'!$B$132:$B$181,'Liquidity requirement Serial ad'!B59,'Serial adaptation'!$H$132:$H$181)+SUMIF('Serial adaptation'!$B$188:$B$245,'Liquidity requirement Serial ad'!B59,'Serial adaptation'!$H$188:$H$245)</f>
        <v>0</v>
      </c>
      <c r="D59" s="431"/>
      <c r="E59" s="431"/>
      <c r="F59" s="402">
        <f t="shared" si="4"/>
        <v>1900</v>
      </c>
      <c r="G59" s="438">
        <f t="shared" si="5"/>
        <v>1</v>
      </c>
      <c r="H59" s="376"/>
      <c r="I59" s="504">
        <f t="shared" si="6"/>
        <v>0</v>
      </c>
      <c r="J59" s="504">
        <f t="shared" si="7"/>
        <v>0</v>
      </c>
      <c r="K59" s="504">
        <f t="shared" si="8"/>
        <v>0</v>
      </c>
      <c r="L59" s="504">
        <f t="shared" si="9"/>
        <v>0</v>
      </c>
      <c r="M59" s="504">
        <f t="shared" si="9"/>
        <v>0</v>
      </c>
      <c r="N59" s="504">
        <f t="shared" si="9"/>
        <v>0</v>
      </c>
      <c r="O59" s="504">
        <f t="shared" si="9"/>
        <v>0</v>
      </c>
      <c r="P59" s="504">
        <f t="shared" si="10"/>
        <v>0</v>
      </c>
      <c r="Q59" s="504">
        <f t="shared" si="10"/>
        <v>0</v>
      </c>
      <c r="R59" s="504">
        <f t="shared" si="10"/>
        <v>0</v>
      </c>
      <c r="S59" s="504">
        <f t="shared" si="10"/>
        <v>0</v>
      </c>
      <c r="T59" s="504">
        <f t="shared" si="11"/>
        <v>0</v>
      </c>
      <c r="U59" s="504">
        <f t="shared" si="11"/>
        <v>0</v>
      </c>
      <c r="V59" s="504">
        <f t="shared" si="11"/>
        <v>0</v>
      </c>
      <c r="W59" s="504">
        <f t="shared" si="11"/>
        <v>0</v>
      </c>
      <c r="X59" s="504">
        <f t="shared" si="12"/>
        <v>0</v>
      </c>
      <c r="Y59" s="504">
        <f t="shared" si="12"/>
        <v>0</v>
      </c>
      <c r="Z59" s="504">
        <f t="shared" si="12"/>
        <v>0</v>
      </c>
      <c r="AA59" s="504">
        <f t="shared" si="12"/>
        <v>0</v>
      </c>
      <c r="AB59" s="137">
        <f t="shared" si="13"/>
        <v>0</v>
      </c>
    </row>
    <row r="60" spans="2:28" ht="12.75" outlineLevel="1">
      <c r="B60" s="446" t="s">
        <v>109</v>
      </c>
      <c r="C60" s="401">
        <f>SUMIF('Serial adaptation'!$B$16:$B$66,'Liquidity requirement Serial ad'!$B60,'Serial adaptation'!$H$16:$H$66)*1.5+SUMIF('Serial adaptation'!$B$75:$B$125,'Liquidity requirement Serial ad'!B60,'Serial adaptation'!$H$75:$H$125)+SUMIF('Serial adaptation'!$B$132:$B$181,'Liquidity requirement Serial ad'!B60,'Serial adaptation'!$H$132:$H$181)+SUMIF('Serial adaptation'!$B$188:$B$245,'Liquidity requirement Serial ad'!B60,'Serial adaptation'!$H$188:$H$245)</f>
        <v>0</v>
      </c>
      <c r="D60" s="431"/>
      <c r="E60" s="431"/>
      <c r="F60" s="402">
        <f t="shared" si="4"/>
        <v>1900</v>
      </c>
      <c r="G60" s="438">
        <f t="shared" si="5"/>
        <v>1</v>
      </c>
      <c r="H60" s="376"/>
      <c r="I60" s="504">
        <f t="shared" si="6"/>
        <v>0</v>
      </c>
      <c r="J60" s="504">
        <f t="shared" si="7"/>
        <v>0</v>
      </c>
      <c r="K60" s="504">
        <f t="shared" si="8"/>
        <v>0</v>
      </c>
      <c r="L60" s="504">
        <f t="shared" si="9"/>
        <v>0</v>
      </c>
      <c r="M60" s="504">
        <f t="shared" si="9"/>
        <v>0</v>
      </c>
      <c r="N60" s="504">
        <f t="shared" si="9"/>
        <v>0</v>
      </c>
      <c r="O60" s="504">
        <f t="shared" si="9"/>
        <v>0</v>
      </c>
      <c r="P60" s="504">
        <f t="shared" si="10"/>
        <v>0</v>
      </c>
      <c r="Q60" s="504">
        <f t="shared" si="10"/>
        <v>0</v>
      </c>
      <c r="R60" s="504">
        <f t="shared" si="10"/>
        <v>0</v>
      </c>
      <c r="S60" s="504">
        <f t="shared" si="10"/>
        <v>0</v>
      </c>
      <c r="T60" s="504">
        <f t="shared" si="11"/>
        <v>0</v>
      </c>
      <c r="U60" s="504">
        <f t="shared" si="11"/>
        <v>0</v>
      </c>
      <c r="V60" s="504">
        <f t="shared" si="11"/>
        <v>0</v>
      </c>
      <c r="W60" s="504">
        <f t="shared" si="11"/>
        <v>0</v>
      </c>
      <c r="X60" s="504">
        <f t="shared" si="12"/>
        <v>0</v>
      </c>
      <c r="Y60" s="504">
        <f t="shared" si="12"/>
        <v>0</v>
      </c>
      <c r="Z60" s="504">
        <f t="shared" si="12"/>
        <v>0</v>
      </c>
      <c r="AA60" s="504">
        <f t="shared" si="12"/>
        <v>0</v>
      </c>
      <c r="AB60" s="137">
        <f t="shared" si="13"/>
        <v>0</v>
      </c>
    </row>
    <row r="61" spans="2:28" ht="12.75" outlineLevel="1">
      <c r="B61" s="446" t="s">
        <v>110</v>
      </c>
      <c r="C61" s="401">
        <f>SUMIF('Serial adaptation'!$B$16:$B$66,'Liquidity requirement Serial ad'!$B61,'Serial adaptation'!$H$16:$H$66)*1.5+SUMIF('Serial adaptation'!$B$75:$B$125,'Liquidity requirement Serial ad'!B61,'Serial adaptation'!$H$75:$H$125)+SUMIF('Serial adaptation'!$B$132:$B$181,'Liquidity requirement Serial ad'!B61,'Serial adaptation'!$H$132:$H$181)+SUMIF('Serial adaptation'!$B$188:$B$245,'Liquidity requirement Serial ad'!B61,'Serial adaptation'!$H$188:$H$245)</f>
        <v>0</v>
      </c>
      <c r="D61" s="431"/>
      <c r="E61" s="431"/>
      <c r="F61" s="402">
        <f t="shared" si="4"/>
        <v>1900</v>
      </c>
      <c r="G61" s="438">
        <f t="shared" si="5"/>
        <v>1</v>
      </c>
      <c r="H61" s="376"/>
      <c r="I61" s="504">
        <f t="shared" si="6"/>
        <v>0</v>
      </c>
      <c r="J61" s="504">
        <f t="shared" si="7"/>
        <v>0</v>
      </c>
      <c r="K61" s="504">
        <f t="shared" si="8"/>
        <v>0</v>
      </c>
      <c r="L61" s="504">
        <f t="shared" si="9"/>
        <v>0</v>
      </c>
      <c r="M61" s="504">
        <f t="shared" si="9"/>
        <v>0</v>
      </c>
      <c r="N61" s="504">
        <f t="shared" si="9"/>
        <v>0</v>
      </c>
      <c r="O61" s="504">
        <f t="shared" si="9"/>
        <v>0</v>
      </c>
      <c r="P61" s="504">
        <f t="shared" si="10"/>
        <v>0</v>
      </c>
      <c r="Q61" s="504">
        <f t="shared" si="10"/>
        <v>0</v>
      </c>
      <c r="R61" s="504">
        <f t="shared" si="10"/>
        <v>0</v>
      </c>
      <c r="S61" s="504">
        <f t="shared" si="10"/>
        <v>0</v>
      </c>
      <c r="T61" s="504">
        <f t="shared" si="11"/>
        <v>0</v>
      </c>
      <c r="U61" s="504">
        <f t="shared" si="11"/>
        <v>0</v>
      </c>
      <c r="V61" s="504">
        <f t="shared" si="11"/>
        <v>0</v>
      </c>
      <c r="W61" s="504">
        <f t="shared" si="11"/>
        <v>0</v>
      </c>
      <c r="X61" s="504">
        <f t="shared" si="12"/>
        <v>0</v>
      </c>
      <c r="Y61" s="504">
        <f t="shared" si="12"/>
        <v>0</v>
      </c>
      <c r="Z61" s="504">
        <f t="shared" si="12"/>
        <v>0</v>
      </c>
      <c r="AA61" s="504">
        <f t="shared" si="12"/>
        <v>0</v>
      </c>
      <c r="AB61" s="137">
        <f t="shared" si="13"/>
        <v>0</v>
      </c>
    </row>
    <row r="62" spans="2:28" ht="12.75" outlineLevel="1">
      <c r="B62" s="446" t="s">
        <v>111</v>
      </c>
      <c r="C62" s="401">
        <f>SUMIF('Serial adaptation'!$B$16:$B$66,'Liquidity requirement Serial ad'!$B62,'Serial adaptation'!$H$16:$H$66)*1.5+SUMIF('Serial adaptation'!$B$75:$B$125,'Liquidity requirement Serial ad'!B62,'Serial adaptation'!$H$75:$H$125)+SUMIF('Serial adaptation'!$B$132:$B$181,'Liquidity requirement Serial ad'!B62,'Serial adaptation'!$H$132:$H$181)+SUMIF('Serial adaptation'!$B$188:$B$245,'Liquidity requirement Serial ad'!B62,'Serial adaptation'!$H$188:$H$245)</f>
        <v>0</v>
      </c>
      <c r="D62" s="431"/>
      <c r="E62" s="431"/>
      <c r="F62" s="402">
        <f t="shared" si="4"/>
        <v>1900</v>
      </c>
      <c r="G62" s="438">
        <f t="shared" si="5"/>
        <v>1</v>
      </c>
      <c r="H62" s="376"/>
      <c r="I62" s="504">
        <f t="shared" si="6"/>
        <v>0</v>
      </c>
      <c r="J62" s="504">
        <f t="shared" si="7"/>
        <v>0</v>
      </c>
      <c r="K62" s="504">
        <f t="shared" si="8"/>
        <v>0</v>
      </c>
      <c r="L62" s="504">
        <f t="shared" si="9"/>
        <v>0</v>
      </c>
      <c r="M62" s="504">
        <f t="shared" si="9"/>
        <v>0</v>
      </c>
      <c r="N62" s="504">
        <f t="shared" si="9"/>
        <v>0</v>
      </c>
      <c r="O62" s="504">
        <f t="shared" si="9"/>
        <v>0</v>
      </c>
      <c r="P62" s="504">
        <f t="shared" si="10"/>
        <v>0</v>
      </c>
      <c r="Q62" s="504">
        <f t="shared" si="10"/>
        <v>0</v>
      </c>
      <c r="R62" s="504">
        <f t="shared" si="10"/>
        <v>0</v>
      </c>
      <c r="S62" s="504">
        <f t="shared" si="10"/>
        <v>0</v>
      </c>
      <c r="T62" s="504">
        <f t="shared" si="11"/>
        <v>0</v>
      </c>
      <c r="U62" s="504">
        <f t="shared" si="11"/>
        <v>0</v>
      </c>
      <c r="V62" s="504">
        <f t="shared" si="11"/>
        <v>0</v>
      </c>
      <c r="W62" s="504">
        <f t="shared" si="11"/>
        <v>0</v>
      </c>
      <c r="X62" s="504">
        <f t="shared" si="12"/>
        <v>0</v>
      </c>
      <c r="Y62" s="504">
        <f t="shared" si="12"/>
        <v>0</v>
      </c>
      <c r="Z62" s="504">
        <f t="shared" si="12"/>
        <v>0</v>
      </c>
      <c r="AA62" s="504">
        <f t="shared" si="12"/>
        <v>0</v>
      </c>
      <c r="AB62" s="137">
        <f t="shared" si="13"/>
        <v>0</v>
      </c>
    </row>
    <row r="63" spans="2:28" ht="12.75" outlineLevel="1">
      <c r="B63" s="446" t="s">
        <v>112</v>
      </c>
      <c r="C63" s="401">
        <f>SUMIF('Serial adaptation'!$B$16:$B$66,'Liquidity requirement Serial ad'!$B63,'Serial adaptation'!$H$16:$H$66)*1.5+SUMIF('Serial adaptation'!$B$75:$B$125,'Liquidity requirement Serial ad'!B63,'Serial adaptation'!$H$75:$H$125)+SUMIF('Serial adaptation'!$B$132:$B$181,'Liquidity requirement Serial ad'!B63,'Serial adaptation'!$H$132:$H$181)+SUMIF('Serial adaptation'!$B$188:$B$245,'Liquidity requirement Serial ad'!B63,'Serial adaptation'!$H$188:$H$245)</f>
        <v>0</v>
      </c>
      <c r="D63" s="431"/>
      <c r="E63" s="431"/>
      <c r="F63" s="402">
        <f t="shared" si="4"/>
        <v>1900</v>
      </c>
      <c r="G63" s="438">
        <f t="shared" si="5"/>
        <v>1</v>
      </c>
      <c r="H63" s="376"/>
      <c r="I63" s="504">
        <f t="shared" si="6"/>
        <v>0</v>
      </c>
      <c r="J63" s="504">
        <f t="shared" si="7"/>
        <v>0</v>
      </c>
      <c r="K63" s="504">
        <f t="shared" si="8"/>
        <v>0</v>
      </c>
      <c r="L63" s="504">
        <f t="shared" si="9"/>
        <v>0</v>
      </c>
      <c r="M63" s="504">
        <f t="shared" si="9"/>
        <v>0</v>
      </c>
      <c r="N63" s="504">
        <f t="shared" si="9"/>
        <v>0</v>
      </c>
      <c r="O63" s="504">
        <f t="shared" si="9"/>
        <v>0</v>
      </c>
      <c r="P63" s="504">
        <f t="shared" si="10"/>
        <v>0</v>
      </c>
      <c r="Q63" s="504">
        <f t="shared" si="10"/>
        <v>0</v>
      </c>
      <c r="R63" s="504">
        <f t="shared" si="10"/>
        <v>0</v>
      </c>
      <c r="S63" s="504">
        <f t="shared" si="10"/>
        <v>0</v>
      </c>
      <c r="T63" s="504">
        <f t="shared" si="11"/>
        <v>0</v>
      </c>
      <c r="U63" s="504">
        <f t="shared" si="11"/>
        <v>0</v>
      </c>
      <c r="V63" s="504">
        <f t="shared" si="11"/>
        <v>0</v>
      </c>
      <c r="W63" s="504">
        <f t="shared" si="11"/>
        <v>0</v>
      </c>
      <c r="X63" s="504">
        <f t="shared" si="12"/>
        <v>0</v>
      </c>
      <c r="Y63" s="504">
        <f t="shared" si="12"/>
        <v>0</v>
      </c>
      <c r="Z63" s="504">
        <f t="shared" si="12"/>
        <v>0</v>
      </c>
      <c r="AA63" s="504">
        <f t="shared" si="12"/>
        <v>0</v>
      </c>
      <c r="AB63" s="137">
        <f t="shared" si="13"/>
        <v>0</v>
      </c>
    </row>
    <row r="64" spans="2:28" ht="12.75" outlineLevel="1">
      <c r="B64" s="446" t="s">
        <v>113</v>
      </c>
      <c r="C64" s="401">
        <f>SUMIF('Serial adaptation'!$B$16:$B$66,'Liquidity requirement Serial ad'!$B64,'Serial adaptation'!$H$16:$H$66)*1.5+SUMIF('Serial adaptation'!$B$75:$B$125,'Liquidity requirement Serial ad'!B64,'Serial adaptation'!$H$75:$H$125)+SUMIF('Serial adaptation'!$B$132:$B$181,'Liquidity requirement Serial ad'!B64,'Serial adaptation'!$H$132:$H$181)+SUMIF('Serial adaptation'!$B$188:$B$245,'Liquidity requirement Serial ad'!B64,'Serial adaptation'!$H$188:$H$245)</f>
        <v>0</v>
      </c>
      <c r="D64" s="431"/>
      <c r="E64" s="431"/>
      <c r="F64" s="402">
        <f t="shared" si="4"/>
        <v>1900</v>
      </c>
      <c r="G64" s="438">
        <f t="shared" si="5"/>
        <v>1</v>
      </c>
      <c r="H64" s="376"/>
      <c r="I64" s="504">
        <f t="shared" si="6"/>
        <v>0</v>
      </c>
      <c r="J64" s="504">
        <f t="shared" si="7"/>
        <v>0</v>
      </c>
      <c r="K64" s="504">
        <f t="shared" si="8"/>
        <v>0</v>
      </c>
      <c r="L64" s="504">
        <f t="shared" si="9"/>
        <v>0</v>
      </c>
      <c r="M64" s="504">
        <f t="shared" si="9"/>
        <v>0</v>
      </c>
      <c r="N64" s="504">
        <f t="shared" si="9"/>
        <v>0</v>
      </c>
      <c r="O64" s="504">
        <f t="shared" si="9"/>
        <v>0</v>
      </c>
      <c r="P64" s="504">
        <f t="shared" si="10"/>
        <v>0</v>
      </c>
      <c r="Q64" s="504">
        <f t="shared" si="10"/>
        <v>0</v>
      </c>
      <c r="R64" s="504">
        <f t="shared" si="10"/>
        <v>0</v>
      </c>
      <c r="S64" s="504">
        <f t="shared" si="10"/>
        <v>0</v>
      </c>
      <c r="T64" s="504">
        <f t="shared" si="11"/>
        <v>0</v>
      </c>
      <c r="U64" s="504">
        <f t="shared" si="11"/>
        <v>0</v>
      </c>
      <c r="V64" s="504">
        <f t="shared" si="11"/>
        <v>0</v>
      </c>
      <c r="W64" s="504">
        <f t="shared" si="11"/>
        <v>0</v>
      </c>
      <c r="X64" s="504">
        <f t="shared" si="12"/>
        <v>0</v>
      </c>
      <c r="Y64" s="504">
        <f t="shared" si="12"/>
        <v>0</v>
      </c>
      <c r="Z64" s="504">
        <f t="shared" si="12"/>
        <v>0</v>
      </c>
      <c r="AA64" s="504">
        <f t="shared" si="12"/>
        <v>0</v>
      </c>
      <c r="AB64" s="137">
        <f t="shared" si="13"/>
        <v>0</v>
      </c>
    </row>
    <row r="65" spans="2:34" ht="12.75" outlineLevel="1">
      <c r="B65" s="446" t="s">
        <v>114</v>
      </c>
      <c r="C65" s="401">
        <f>SUMIF('Serial adaptation'!$B$16:$B$66,'Liquidity requirement Serial ad'!$B65,'Serial adaptation'!$H$16:$H$66)*1.5+SUMIF('Serial adaptation'!$B$75:$B$125,'Liquidity requirement Serial ad'!B65,'Serial adaptation'!$H$75:$H$125)+SUMIF('Serial adaptation'!$B$132:$B$181,'Liquidity requirement Serial ad'!B65,'Serial adaptation'!$H$132:$H$181)+SUMIF('Serial adaptation'!$B$188:$B$245,'Liquidity requirement Serial ad'!B65,'Serial adaptation'!$H$188:$H$245)</f>
        <v>0</v>
      </c>
      <c r="D65" s="431"/>
      <c r="E65" s="431"/>
      <c r="F65" s="402">
        <f t="shared" si="4"/>
        <v>1900</v>
      </c>
      <c r="G65" s="438">
        <f t="shared" si="5"/>
        <v>1</v>
      </c>
      <c r="H65" s="376"/>
      <c r="I65" s="504">
        <f t="shared" si="6"/>
        <v>0</v>
      </c>
      <c r="J65" s="504">
        <f t="shared" si="7"/>
        <v>0</v>
      </c>
      <c r="K65" s="504">
        <f t="shared" si="8"/>
        <v>0</v>
      </c>
      <c r="L65" s="504">
        <f t="shared" si="9"/>
        <v>0</v>
      </c>
      <c r="M65" s="504">
        <f t="shared" si="9"/>
        <v>0</v>
      </c>
      <c r="N65" s="504">
        <f t="shared" si="9"/>
        <v>0</v>
      </c>
      <c r="O65" s="504">
        <f t="shared" si="9"/>
        <v>0</v>
      </c>
      <c r="P65" s="504">
        <f t="shared" si="10"/>
        <v>0</v>
      </c>
      <c r="Q65" s="504">
        <f t="shared" si="10"/>
        <v>0</v>
      </c>
      <c r="R65" s="504">
        <f t="shared" si="10"/>
        <v>0</v>
      </c>
      <c r="S65" s="504">
        <f t="shared" si="10"/>
        <v>0</v>
      </c>
      <c r="T65" s="504">
        <f t="shared" si="11"/>
        <v>0</v>
      </c>
      <c r="U65" s="504">
        <f t="shared" si="11"/>
        <v>0</v>
      </c>
      <c r="V65" s="504">
        <f t="shared" si="11"/>
        <v>0</v>
      </c>
      <c r="W65" s="504">
        <f t="shared" si="11"/>
        <v>0</v>
      </c>
      <c r="X65" s="504">
        <f t="shared" si="12"/>
        <v>0</v>
      </c>
      <c r="Y65" s="504">
        <f t="shared" si="12"/>
        <v>0</v>
      </c>
      <c r="Z65" s="504">
        <f t="shared" si="12"/>
        <v>0</v>
      </c>
      <c r="AA65" s="504">
        <f t="shared" si="12"/>
        <v>0</v>
      </c>
      <c r="AB65" s="137">
        <f t="shared" si="13"/>
        <v>0</v>
      </c>
    </row>
    <row r="66" spans="2:34" ht="12.75" outlineLevel="1">
      <c r="B66" s="446" t="s">
        <v>115</v>
      </c>
      <c r="C66" s="401">
        <f>SUMIF('Serial adaptation'!$B$16:$B$66,'Liquidity requirement Serial ad'!$B66,'Serial adaptation'!$H$16:$H$66)*1.5+SUMIF('Serial adaptation'!$B$75:$B$125,'Liquidity requirement Serial ad'!B66,'Serial adaptation'!$H$75:$H$125)+SUMIF('Serial adaptation'!$B$132:$B$181,'Liquidity requirement Serial ad'!B66,'Serial adaptation'!$H$132:$H$181)+SUMIF('Serial adaptation'!$B$188:$B$245,'Liquidity requirement Serial ad'!B66,'Serial adaptation'!$H$188:$H$245)</f>
        <v>0</v>
      </c>
      <c r="D66" s="431"/>
      <c r="E66" s="431"/>
      <c r="F66" s="402">
        <f t="shared" si="4"/>
        <v>1900</v>
      </c>
      <c r="G66" s="438">
        <f t="shared" si="5"/>
        <v>1</v>
      </c>
      <c r="H66" s="376"/>
      <c r="I66" s="504">
        <f t="shared" si="6"/>
        <v>0</v>
      </c>
      <c r="J66" s="504">
        <f t="shared" si="7"/>
        <v>0</v>
      </c>
      <c r="K66" s="504">
        <f t="shared" si="8"/>
        <v>0</v>
      </c>
      <c r="L66" s="504">
        <f t="shared" si="9"/>
        <v>0</v>
      </c>
      <c r="M66" s="504">
        <f t="shared" si="9"/>
        <v>0</v>
      </c>
      <c r="N66" s="504">
        <f t="shared" si="9"/>
        <v>0</v>
      </c>
      <c r="O66" s="504">
        <f t="shared" si="9"/>
        <v>0</v>
      </c>
      <c r="P66" s="504">
        <f t="shared" si="10"/>
        <v>0</v>
      </c>
      <c r="Q66" s="504">
        <f t="shared" si="10"/>
        <v>0</v>
      </c>
      <c r="R66" s="504">
        <f t="shared" si="10"/>
        <v>0</v>
      </c>
      <c r="S66" s="504">
        <f t="shared" si="10"/>
        <v>0</v>
      </c>
      <c r="T66" s="504">
        <f t="shared" si="11"/>
        <v>0</v>
      </c>
      <c r="U66" s="504">
        <f t="shared" si="11"/>
        <v>0</v>
      </c>
      <c r="V66" s="504">
        <f t="shared" si="11"/>
        <v>0</v>
      </c>
      <c r="W66" s="504">
        <f t="shared" si="11"/>
        <v>0</v>
      </c>
      <c r="X66" s="504">
        <f t="shared" si="12"/>
        <v>0</v>
      </c>
      <c r="Y66" s="504">
        <f t="shared" si="12"/>
        <v>0</v>
      </c>
      <c r="Z66" s="504">
        <f t="shared" si="12"/>
        <v>0</v>
      </c>
      <c r="AA66" s="504">
        <f t="shared" si="12"/>
        <v>0</v>
      </c>
      <c r="AB66" s="137">
        <f t="shared" si="13"/>
        <v>0</v>
      </c>
    </row>
    <row r="67" spans="2:34" ht="12.75" outlineLevel="1">
      <c r="B67" s="446" t="s">
        <v>116</v>
      </c>
      <c r="C67" s="401">
        <f>SUMIF('Serial adaptation'!$B$16:$B$66,'Liquidity requirement Serial ad'!$B67,'Serial adaptation'!$H$16:$H$66)*1.5+SUMIF('Serial adaptation'!$B$75:$B$125,'Liquidity requirement Serial ad'!B67,'Serial adaptation'!$H$75:$H$125)+SUMIF('Serial adaptation'!$B$132:$B$181,'Liquidity requirement Serial ad'!B67,'Serial adaptation'!$H$132:$H$181)+SUMIF('Serial adaptation'!$B$188:$B$245,'Liquidity requirement Serial ad'!B67,'Serial adaptation'!$H$188:$H$245)</f>
        <v>0</v>
      </c>
      <c r="D67" s="431"/>
      <c r="E67" s="431"/>
      <c r="F67" s="402">
        <f t="shared" si="4"/>
        <v>1900</v>
      </c>
      <c r="G67" s="438">
        <f t="shared" si="5"/>
        <v>1</v>
      </c>
      <c r="H67" s="376"/>
      <c r="I67" s="504">
        <f t="shared" si="6"/>
        <v>0</v>
      </c>
      <c r="J67" s="504">
        <f t="shared" si="7"/>
        <v>0</v>
      </c>
      <c r="K67" s="504">
        <f t="shared" si="8"/>
        <v>0</v>
      </c>
      <c r="L67" s="504">
        <f t="shared" si="9"/>
        <v>0</v>
      </c>
      <c r="M67" s="504">
        <f t="shared" si="9"/>
        <v>0</v>
      </c>
      <c r="N67" s="504">
        <f t="shared" si="9"/>
        <v>0</v>
      </c>
      <c r="O67" s="504">
        <f t="shared" si="9"/>
        <v>0</v>
      </c>
      <c r="P67" s="504">
        <f t="shared" si="10"/>
        <v>0</v>
      </c>
      <c r="Q67" s="504">
        <f t="shared" si="10"/>
        <v>0</v>
      </c>
      <c r="R67" s="504">
        <f t="shared" si="10"/>
        <v>0</v>
      </c>
      <c r="S67" s="504">
        <f t="shared" si="10"/>
        <v>0</v>
      </c>
      <c r="T67" s="504">
        <f t="shared" si="11"/>
        <v>0</v>
      </c>
      <c r="U67" s="504">
        <f t="shared" si="11"/>
        <v>0</v>
      </c>
      <c r="V67" s="504">
        <f t="shared" si="11"/>
        <v>0</v>
      </c>
      <c r="W67" s="504">
        <f t="shared" si="11"/>
        <v>0</v>
      </c>
      <c r="X67" s="504">
        <f t="shared" si="12"/>
        <v>0</v>
      </c>
      <c r="Y67" s="504">
        <f t="shared" si="12"/>
        <v>0</v>
      </c>
      <c r="Z67" s="504">
        <f t="shared" si="12"/>
        <v>0</v>
      </c>
      <c r="AA67" s="504">
        <f t="shared" si="12"/>
        <v>0</v>
      </c>
      <c r="AB67" s="137">
        <f t="shared" si="13"/>
        <v>0</v>
      </c>
    </row>
    <row r="68" spans="2:34" ht="12.75" outlineLevel="1">
      <c r="B68" s="446" t="s">
        <v>117</v>
      </c>
      <c r="C68" s="401">
        <f>SUMIF('Serial adaptation'!$B$16:$B$66,'Liquidity requirement Serial ad'!$B68,'Serial adaptation'!$H$16:$H$66)*1.5+SUMIF('Serial adaptation'!$B$75:$B$125,'Liquidity requirement Serial ad'!B68,'Serial adaptation'!$H$75:$H$125)+SUMIF('Serial adaptation'!$B$132:$B$181,'Liquidity requirement Serial ad'!B68,'Serial adaptation'!$H$132:$H$181)+SUMIF('Serial adaptation'!$B$188:$B$245,'Liquidity requirement Serial ad'!B68,'Serial adaptation'!$H$188:$H$245)</f>
        <v>0</v>
      </c>
      <c r="D68" s="431"/>
      <c r="E68" s="431"/>
      <c r="F68" s="402">
        <f t="shared" si="4"/>
        <v>1900</v>
      </c>
      <c r="G68" s="438">
        <f t="shared" si="5"/>
        <v>1</v>
      </c>
      <c r="H68" s="376"/>
      <c r="I68" s="504">
        <f t="shared" si="6"/>
        <v>0</v>
      </c>
      <c r="J68" s="504">
        <f t="shared" si="7"/>
        <v>0</v>
      </c>
      <c r="K68" s="504">
        <f t="shared" si="8"/>
        <v>0</v>
      </c>
      <c r="L68" s="504">
        <f t="shared" si="9"/>
        <v>0</v>
      </c>
      <c r="M68" s="504">
        <f t="shared" si="9"/>
        <v>0</v>
      </c>
      <c r="N68" s="504">
        <f t="shared" si="9"/>
        <v>0</v>
      </c>
      <c r="O68" s="504">
        <f t="shared" si="9"/>
        <v>0</v>
      </c>
      <c r="P68" s="504">
        <f t="shared" si="10"/>
        <v>0</v>
      </c>
      <c r="Q68" s="504">
        <f t="shared" si="10"/>
        <v>0</v>
      </c>
      <c r="R68" s="504">
        <f t="shared" si="10"/>
        <v>0</v>
      </c>
      <c r="S68" s="504">
        <f t="shared" si="10"/>
        <v>0</v>
      </c>
      <c r="T68" s="504">
        <f t="shared" si="11"/>
        <v>0</v>
      </c>
      <c r="U68" s="504">
        <f t="shared" si="11"/>
        <v>0</v>
      </c>
      <c r="V68" s="504">
        <f t="shared" si="11"/>
        <v>0</v>
      </c>
      <c r="W68" s="504">
        <f t="shared" si="11"/>
        <v>0</v>
      </c>
      <c r="X68" s="504">
        <f t="shared" si="12"/>
        <v>0</v>
      </c>
      <c r="Y68" s="504">
        <f t="shared" si="12"/>
        <v>0</v>
      </c>
      <c r="Z68" s="504">
        <f t="shared" si="12"/>
        <v>0</v>
      </c>
      <c r="AA68" s="504">
        <f t="shared" si="12"/>
        <v>0</v>
      </c>
      <c r="AB68" s="137">
        <f t="shared" si="13"/>
        <v>0</v>
      </c>
    </row>
    <row r="69" spans="2:34" ht="12.75" outlineLevel="1">
      <c r="B69" s="446" t="s">
        <v>118</v>
      </c>
      <c r="C69" s="401">
        <f>SUMIF('Serial adaptation'!$B$16:$B$66,'Liquidity requirement Serial ad'!$B69,'Serial adaptation'!$H$16:$H$66)*1.5+SUMIF('Serial adaptation'!$B$75:$B$125,'Liquidity requirement Serial ad'!B69,'Serial adaptation'!$H$75:$H$125)+SUMIF('Serial adaptation'!$B$132:$B$181,'Liquidity requirement Serial ad'!B69,'Serial adaptation'!$H$132:$H$181)+SUMIF('Serial adaptation'!$B$188:$B$245,'Liquidity requirement Serial ad'!B69,'Serial adaptation'!$H$188:$H$245)</f>
        <v>0</v>
      </c>
      <c r="D69" s="431"/>
      <c r="E69" s="431"/>
      <c r="F69" s="402">
        <f t="shared" si="4"/>
        <v>1900</v>
      </c>
      <c r="G69" s="438">
        <f t="shared" si="5"/>
        <v>1</v>
      </c>
      <c r="H69" s="376"/>
      <c r="I69" s="504">
        <f t="shared" si="6"/>
        <v>0</v>
      </c>
      <c r="J69" s="504">
        <f t="shared" si="7"/>
        <v>0</v>
      </c>
      <c r="K69" s="504">
        <f t="shared" si="8"/>
        <v>0</v>
      </c>
      <c r="L69" s="504">
        <f t="shared" si="9"/>
        <v>0</v>
      </c>
      <c r="M69" s="504">
        <f t="shared" si="9"/>
        <v>0</v>
      </c>
      <c r="N69" s="504">
        <f t="shared" si="9"/>
        <v>0</v>
      </c>
      <c r="O69" s="504">
        <f t="shared" si="9"/>
        <v>0</v>
      </c>
      <c r="P69" s="504">
        <f t="shared" si="10"/>
        <v>0</v>
      </c>
      <c r="Q69" s="504">
        <f t="shared" si="10"/>
        <v>0</v>
      </c>
      <c r="R69" s="504">
        <f t="shared" si="10"/>
        <v>0</v>
      </c>
      <c r="S69" s="504">
        <f t="shared" si="10"/>
        <v>0</v>
      </c>
      <c r="T69" s="504">
        <f t="shared" si="11"/>
        <v>0</v>
      </c>
      <c r="U69" s="504">
        <f t="shared" si="11"/>
        <v>0</v>
      </c>
      <c r="V69" s="504">
        <f t="shared" si="11"/>
        <v>0</v>
      </c>
      <c r="W69" s="504">
        <f t="shared" si="11"/>
        <v>0</v>
      </c>
      <c r="X69" s="504">
        <f t="shared" si="12"/>
        <v>0</v>
      </c>
      <c r="Y69" s="504">
        <f t="shared" si="12"/>
        <v>0</v>
      </c>
      <c r="Z69" s="504">
        <f t="shared" si="12"/>
        <v>0</v>
      </c>
      <c r="AA69" s="504">
        <f t="shared" si="12"/>
        <v>0</v>
      </c>
      <c r="AB69" s="137">
        <f t="shared" si="13"/>
        <v>0</v>
      </c>
    </row>
    <row r="70" spans="2:34" ht="12.75" outlineLevel="1">
      <c r="B70" s="446" t="s">
        <v>119</v>
      </c>
      <c r="C70" s="401">
        <f>SUMIF('Serial adaptation'!$B$16:$B$66,'Liquidity requirement Serial ad'!$B70,'Serial adaptation'!$H$16:$H$66)*1.5+SUMIF('Serial adaptation'!$B$75:$B$125,'Liquidity requirement Serial ad'!B70,'Serial adaptation'!$H$75:$H$125)+SUMIF('Serial adaptation'!$B$132:$B$181,'Liquidity requirement Serial ad'!B70,'Serial adaptation'!$H$132:$H$181)+SUMIF('Serial adaptation'!$B$188:$B$245,'Liquidity requirement Serial ad'!B70,'Serial adaptation'!$H$188:$H$245)</f>
        <v>0</v>
      </c>
      <c r="D70" s="431"/>
      <c r="E70" s="431"/>
      <c r="F70" s="402">
        <f t="shared" si="4"/>
        <v>1900</v>
      </c>
      <c r="G70" s="438">
        <f t="shared" si="5"/>
        <v>1</v>
      </c>
      <c r="H70" s="376"/>
      <c r="I70" s="504">
        <f t="shared" si="6"/>
        <v>0</v>
      </c>
      <c r="J70" s="504">
        <f t="shared" si="7"/>
        <v>0</v>
      </c>
      <c r="K70" s="504">
        <f t="shared" si="8"/>
        <v>0</v>
      </c>
      <c r="L70" s="504">
        <f t="shared" si="9"/>
        <v>0</v>
      </c>
      <c r="M70" s="504">
        <f t="shared" si="9"/>
        <v>0</v>
      </c>
      <c r="N70" s="504">
        <f t="shared" si="9"/>
        <v>0</v>
      </c>
      <c r="O70" s="504">
        <f t="shared" si="9"/>
        <v>0</v>
      </c>
      <c r="P70" s="504">
        <f t="shared" si="10"/>
        <v>0</v>
      </c>
      <c r="Q70" s="504">
        <f t="shared" si="10"/>
        <v>0</v>
      </c>
      <c r="R70" s="504">
        <f t="shared" si="10"/>
        <v>0</v>
      </c>
      <c r="S70" s="504">
        <f t="shared" si="10"/>
        <v>0</v>
      </c>
      <c r="T70" s="504">
        <f t="shared" si="11"/>
        <v>0</v>
      </c>
      <c r="U70" s="504">
        <f t="shared" si="11"/>
        <v>0</v>
      </c>
      <c r="V70" s="504">
        <f t="shared" si="11"/>
        <v>0</v>
      </c>
      <c r="W70" s="504">
        <f t="shared" si="11"/>
        <v>0</v>
      </c>
      <c r="X70" s="504">
        <f t="shared" si="12"/>
        <v>0</v>
      </c>
      <c r="Y70" s="504">
        <f t="shared" si="12"/>
        <v>0</v>
      </c>
      <c r="Z70" s="504">
        <f t="shared" si="12"/>
        <v>0</v>
      </c>
      <c r="AA70" s="504">
        <f t="shared" si="12"/>
        <v>0</v>
      </c>
      <c r="AB70" s="137">
        <f t="shared" si="13"/>
        <v>0</v>
      </c>
    </row>
    <row r="71" spans="2:34" ht="12.75" outlineLevel="1">
      <c r="B71" s="446" t="s">
        <v>120</v>
      </c>
      <c r="C71" s="401">
        <f>SUMIF('Serial adaptation'!$B$16:$B$66,'Liquidity requirement Serial ad'!$B71,'Serial adaptation'!$H$16:$H$66)*1.5+SUMIF('Serial adaptation'!$B$75:$B$125,'Liquidity requirement Serial ad'!B71,'Serial adaptation'!$H$75:$H$125)+SUMIF('Serial adaptation'!$B$132:$B$181,'Liquidity requirement Serial ad'!B71,'Serial adaptation'!$H$132:$H$181)+SUMIF('Serial adaptation'!$B$188:$B$245,'Liquidity requirement Serial ad'!B71,'Serial adaptation'!$H$188:$H$245)</f>
        <v>0</v>
      </c>
      <c r="D71" s="431"/>
      <c r="E71" s="431"/>
      <c r="F71" s="402">
        <f t="shared" si="4"/>
        <v>1900</v>
      </c>
      <c r="G71" s="438">
        <f t="shared" si="5"/>
        <v>1</v>
      </c>
      <c r="H71" s="376"/>
      <c r="I71" s="504">
        <f t="shared" si="6"/>
        <v>0</v>
      </c>
      <c r="J71" s="504">
        <f t="shared" si="7"/>
        <v>0</v>
      </c>
      <c r="K71" s="504">
        <f t="shared" si="8"/>
        <v>0</v>
      </c>
      <c r="L71" s="504">
        <f t="shared" si="9"/>
        <v>0</v>
      </c>
      <c r="M71" s="504">
        <f t="shared" si="9"/>
        <v>0</v>
      </c>
      <c r="N71" s="504">
        <f t="shared" si="9"/>
        <v>0</v>
      </c>
      <c r="O71" s="504">
        <f t="shared" si="9"/>
        <v>0</v>
      </c>
      <c r="P71" s="504">
        <f t="shared" si="10"/>
        <v>0</v>
      </c>
      <c r="Q71" s="504">
        <f t="shared" si="10"/>
        <v>0</v>
      </c>
      <c r="R71" s="504">
        <f t="shared" si="10"/>
        <v>0</v>
      </c>
      <c r="S71" s="504">
        <f t="shared" si="10"/>
        <v>0</v>
      </c>
      <c r="T71" s="504">
        <f t="shared" si="11"/>
        <v>0</v>
      </c>
      <c r="U71" s="504">
        <f t="shared" si="11"/>
        <v>0</v>
      </c>
      <c r="V71" s="504">
        <f t="shared" si="11"/>
        <v>0</v>
      </c>
      <c r="W71" s="504">
        <f t="shared" si="11"/>
        <v>0</v>
      </c>
      <c r="X71" s="504">
        <f t="shared" si="12"/>
        <v>0</v>
      </c>
      <c r="Y71" s="504">
        <f t="shared" si="12"/>
        <v>0</v>
      </c>
      <c r="Z71" s="504">
        <f t="shared" si="12"/>
        <v>0</v>
      </c>
      <c r="AA71" s="504">
        <f t="shared" si="12"/>
        <v>0</v>
      </c>
      <c r="AB71" s="137">
        <f t="shared" si="13"/>
        <v>0</v>
      </c>
    </row>
    <row r="72" spans="2:34" ht="12.75">
      <c r="B72" s="400" t="s">
        <v>200</v>
      </c>
      <c r="C72" s="401">
        <f>SUM(C22:C71)</f>
        <v>0</v>
      </c>
      <c r="D72" s="401"/>
      <c r="E72" s="401"/>
      <c r="F72" s="401"/>
      <c r="G72" s="401"/>
      <c r="H72" s="377">
        <f t="shared" ref="H72" si="14">SUM(H22:H46)</f>
        <v>0</v>
      </c>
      <c r="I72" s="505">
        <f>SUM(I22:I71)</f>
        <v>0</v>
      </c>
      <c r="J72" s="505">
        <f t="shared" ref="J72:AA72" si="15">SUM(J22:J71)</f>
        <v>0</v>
      </c>
      <c r="K72" s="505">
        <f t="shared" si="15"/>
        <v>0</v>
      </c>
      <c r="L72" s="505">
        <f t="shared" si="15"/>
        <v>0</v>
      </c>
      <c r="M72" s="505">
        <f t="shared" si="15"/>
        <v>0</v>
      </c>
      <c r="N72" s="505">
        <f t="shared" si="15"/>
        <v>0</v>
      </c>
      <c r="O72" s="505">
        <f t="shared" si="15"/>
        <v>0</v>
      </c>
      <c r="P72" s="505">
        <f t="shared" si="15"/>
        <v>0</v>
      </c>
      <c r="Q72" s="505">
        <f t="shared" si="15"/>
        <v>0</v>
      </c>
      <c r="R72" s="505">
        <f t="shared" si="15"/>
        <v>0</v>
      </c>
      <c r="S72" s="505">
        <f t="shared" si="15"/>
        <v>0</v>
      </c>
      <c r="T72" s="505">
        <f t="shared" si="15"/>
        <v>0</v>
      </c>
      <c r="U72" s="505">
        <f t="shared" si="15"/>
        <v>0</v>
      </c>
      <c r="V72" s="505">
        <f t="shared" si="15"/>
        <v>0</v>
      </c>
      <c r="W72" s="505">
        <f t="shared" si="15"/>
        <v>0</v>
      </c>
      <c r="X72" s="505">
        <f t="shared" si="15"/>
        <v>0</v>
      </c>
      <c r="Y72" s="505">
        <f t="shared" si="15"/>
        <v>0</v>
      </c>
      <c r="Z72" s="505">
        <f t="shared" si="15"/>
        <v>0</v>
      </c>
      <c r="AA72" s="505">
        <f t="shared" si="15"/>
        <v>0</v>
      </c>
      <c r="AB72" s="429">
        <f>C72-SUMIF('Total budget'!E10:E14,Lijsten!A15,totaalbegroting_projectkosten)</f>
        <v>0</v>
      </c>
      <c r="AC72" s="395" t="str">
        <f>IF(AB72&lt;1,"","Er is een verschil in kosten!")</f>
        <v/>
      </c>
    </row>
    <row r="73" spans="2:34" ht="15">
      <c r="B73" s="596" t="s">
        <v>322</v>
      </c>
      <c r="C73" s="596"/>
      <c r="D73" s="596"/>
      <c r="E73" s="596"/>
      <c r="F73" s="596"/>
      <c r="G73" s="596"/>
      <c r="H73" s="596"/>
      <c r="I73" s="596"/>
      <c r="J73" s="596"/>
      <c r="K73" s="596"/>
      <c r="L73" s="596"/>
      <c r="M73" s="596"/>
      <c r="N73" s="596"/>
      <c r="O73" s="596"/>
      <c r="P73" s="596"/>
      <c r="Q73" s="596"/>
      <c r="R73" s="596"/>
      <c r="S73" s="596"/>
      <c r="T73" s="596"/>
      <c r="U73" s="596"/>
      <c r="V73" s="596"/>
      <c r="W73" s="596"/>
      <c r="X73" s="596"/>
      <c r="Y73" s="596"/>
      <c r="Z73" s="596"/>
      <c r="AA73" s="596"/>
      <c r="AB73" s="596"/>
      <c r="AC73" s="596"/>
      <c r="AD73" s="596"/>
      <c r="AE73" s="596"/>
      <c r="AF73" s="596"/>
      <c r="AG73" s="596"/>
      <c r="AH73" s="596"/>
    </row>
    <row r="74" spans="2:34" ht="24" customHeight="1">
      <c r="C74" s="273">
        <v>0.95</v>
      </c>
      <c r="D74" s="273"/>
      <c r="E74" s="273"/>
      <c r="F74" s="273"/>
      <c r="G74" s="273"/>
      <c r="H74" s="273"/>
      <c r="I74" s="251">
        <v>2025</v>
      </c>
      <c r="J74" s="251"/>
      <c r="K74" s="251"/>
      <c r="L74" s="251">
        <v>2026</v>
      </c>
      <c r="M74" s="251"/>
      <c r="N74" s="251"/>
      <c r="O74" s="251"/>
      <c r="P74" s="251">
        <v>2027</v>
      </c>
      <c r="Q74" s="417"/>
      <c r="R74" s="417"/>
      <c r="S74" s="251"/>
      <c r="T74" s="251">
        <v>2028</v>
      </c>
      <c r="U74" s="251"/>
      <c r="V74" s="251"/>
      <c r="W74" s="251"/>
      <c r="X74" s="251">
        <v>2029</v>
      </c>
      <c r="Y74" s="251"/>
      <c r="Z74" s="251"/>
      <c r="AA74" s="251"/>
      <c r="AB74" s="251"/>
      <c r="AC74" s="251"/>
      <c r="AD74" s="251"/>
      <c r="AE74" s="251"/>
    </row>
    <row r="75" spans="2:34" ht="36.75" hidden="1" customHeight="1">
      <c r="C75" s="273"/>
      <c r="D75" s="273"/>
      <c r="E75" s="273"/>
      <c r="F75" s="273"/>
      <c r="G75" s="273"/>
      <c r="H75" s="273"/>
      <c r="I75" s="251"/>
      <c r="J75" s="251"/>
      <c r="K75" s="251"/>
      <c r="L75" s="251"/>
      <c r="M75" s="251"/>
      <c r="N75" s="251"/>
      <c r="O75" s="251"/>
      <c r="P75" s="251"/>
      <c r="Q75" s="417"/>
      <c r="R75" s="417"/>
      <c r="S75" s="251"/>
      <c r="T75" s="251"/>
      <c r="U75" s="251"/>
      <c r="V75" s="251"/>
      <c r="W75" s="251"/>
      <c r="X75" s="251"/>
      <c r="Y75" s="251"/>
      <c r="Z75" s="251"/>
      <c r="AA75" s="251"/>
      <c r="AB75" s="251"/>
      <c r="AC75" s="251"/>
      <c r="AD75" s="251"/>
      <c r="AE75" s="251"/>
    </row>
    <row r="76" spans="2:34" ht="22.5">
      <c r="B76" s="245" t="s">
        <v>33</v>
      </c>
      <c r="C76" s="247" t="s">
        <v>323</v>
      </c>
      <c r="D76" s="597" t="s">
        <v>324</v>
      </c>
      <c r="E76" s="598"/>
      <c r="F76" s="247"/>
      <c r="G76" s="432"/>
      <c r="H76" s="247"/>
      <c r="I76" s="249">
        <v>2</v>
      </c>
      <c r="J76" s="249">
        <v>3</v>
      </c>
      <c r="K76" s="249">
        <v>4</v>
      </c>
      <c r="L76" s="249">
        <v>1</v>
      </c>
      <c r="M76" s="249">
        <v>2</v>
      </c>
      <c r="N76" s="249">
        <v>3</v>
      </c>
      <c r="O76" s="249">
        <v>4</v>
      </c>
      <c r="P76" s="249">
        <v>1</v>
      </c>
      <c r="Q76" s="249">
        <v>2</v>
      </c>
      <c r="R76" s="249">
        <v>3</v>
      </c>
      <c r="S76" s="250">
        <v>4</v>
      </c>
      <c r="T76" s="250">
        <v>1</v>
      </c>
      <c r="U76" s="250">
        <v>2</v>
      </c>
      <c r="V76" s="250">
        <v>3</v>
      </c>
      <c r="W76" s="250">
        <v>4</v>
      </c>
      <c r="X76" s="250">
        <v>1</v>
      </c>
      <c r="Y76" s="250">
        <v>2</v>
      </c>
      <c r="Z76" s="250">
        <v>3</v>
      </c>
      <c r="AA76" s="250">
        <v>4</v>
      </c>
      <c r="AB76" s="434" t="s">
        <v>325</v>
      </c>
    </row>
    <row r="77" spans="2:34" ht="12.75">
      <c r="B77" s="246"/>
      <c r="C77" s="248">
        <f>C72*C74*SUMIF('Total budget'!$E$10:$E$11,"Serial adaption",'Total budget'!$P$10:$P$11)</f>
        <v>0</v>
      </c>
      <c r="D77" s="587" t="str">
        <f>'Serial adaptation'!E8</f>
        <v>Serial adaption</v>
      </c>
      <c r="E77" s="588"/>
      <c r="F77" s="248"/>
      <c r="G77" s="428"/>
      <c r="H77" s="248"/>
      <c r="I77" s="505">
        <f t="shared" ref="I77:AA77" si="16">I72*$C$74*$C$8</f>
        <v>0</v>
      </c>
      <c r="J77" s="505">
        <f t="shared" si="16"/>
        <v>0</v>
      </c>
      <c r="K77" s="505">
        <f t="shared" si="16"/>
        <v>0</v>
      </c>
      <c r="L77" s="505">
        <f t="shared" si="16"/>
        <v>0</v>
      </c>
      <c r="M77" s="505">
        <f t="shared" si="16"/>
        <v>0</v>
      </c>
      <c r="N77" s="505">
        <f t="shared" si="16"/>
        <v>0</v>
      </c>
      <c r="O77" s="505">
        <f t="shared" si="16"/>
        <v>0</v>
      </c>
      <c r="P77" s="505">
        <f t="shared" si="16"/>
        <v>0</v>
      </c>
      <c r="Q77" s="505">
        <f t="shared" si="16"/>
        <v>0</v>
      </c>
      <c r="R77" s="505">
        <f t="shared" si="16"/>
        <v>0</v>
      </c>
      <c r="S77" s="505">
        <f t="shared" si="16"/>
        <v>0</v>
      </c>
      <c r="T77" s="505">
        <f t="shared" si="16"/>
        <v>0</v>
      </c>
      <c r="U77" s="505">
        <f t="shared" si="16"/>
        <v>0</v>
      </c>
      <c r="V77" s="505">
        <f t="shared" si="16"/>
        <v>0</v>
      </c>
      <c r="W77" s="505">
        <f t="shared" si="16"/>
        <v>0</v>
      </c>
      <c r="X77" s="505">
        <f t="shared" si="16"/>
        <v>0</v>
      </c>
      <c r="Y77" s="505">
        <f t="shared" si="16"/>
        <v>0</v>
      </c>
      <c r="Z77" s="505">
        <f t="shared" si="16"/>
        <v>0</v>
      </c>
      <c r="AA77" s="505">
        <f t="shared" si="16"/>
        <v>0</v>
      </c>
      <c r="AB77" s="394">
        <f>SUM(I77:AA77)-C77</f>
        <v>0</v>
      </c>
      <c r="AC77" s="395" t="str">
        <f>IF(AB77&lt;1,"","Er is een verschil in kosten!")</f>
        <v/>
      </c>
    </row>
    <row r="78" spans="2:34" ht="12.75">
      <c r="B78" s="246"/>
      <c r="C78" s="248">
        <f>C74*'Total budget'!N11</f>
        <v>0</v>
      </c>
      <c r="D78" s="587" t="str">
        <f>'Prototype development'!D8</f>
        <v>Prototype development</v>
      </c>
      <c r="E78" s="588"/>
      <c r="F78" s="248"/>
      <c r="G78" s="428"/>
      <c r="H78" s="248"/>
      <c r="I78" s="505">
        <f>SUMIFS('Milestone budget'!$C$46:$G$46,'Milestone budget'!$C$45:$G$45,'Liquidity requirement Serial ad'!$I$74,'Milestone budget'!$C$44:$G$44,'Liquidity requirement Serial ad'!I76)</f>
        <v>0</v>
      </c>
      <c r="J78" s="505">
        <f>SUMIFS('Milestone budget'!$C$46:$G$46,'Milestone budget'!$C$45:$G$45,'Liquidity requirement Serial ad'!$I$74,'Milestone budget'!$C$44:$G$44,'Liquidity requirement Serial ad'!J76)</f>
        <v>0</v>
      </c>
      <c r="K78" s="505">
        <f>SUMIFS('Milestone budget'!$C$46:$G$46,'Milestone budget'!$C$45:$G$45,'Liquidity requirement Serial ad'!$I$74,'Milestone budget'!$C$44:$G$44,'Liquidity requirement Serial ad'!K76)</f>
        <v>0</v>
      </c>
      <c r="L78" s="505">
        <f>SUMIFS('Milestone budget'!$C$46:$G$46,'Milestone budget'!$C$45:$G$45,'Liquidity requirement Serial ad'!$L$74,'Milestone budget'!$C$44:$G$44,'Liquidity requirement Serial ad'!L76)</f>
        <v>0</v>
      </c>
      <c r="M78" s="505">
        <f>SUMIFS('Milestone budget'!$C$46:$G$46,'Milestone budget'!$C$45:$G$45,'Liquidity requirement Serial ad'!$L$74,'Milestone budget'!$C$44:$G$44,'Liquidity requirement Serial ad'!M76)</f>
        <v>0</v>
      </c>
      <c r="N78" s="505">
        <f>SUMIFS('Milestone budget'!$C$46:$G$46,'Milestone budget'!$C$45:$G$45,'Liquidity requirement Serial ad'!$L$74,'Milestone budget'!$C$44:$G$44,'Liquidity requirement Serial ad'!N76)</f>
        <v>0</v>
      </c>
      <c r="O78" s="505">
        <f>SUMIFS('Milestone budget'!$C$46:$G$46,'Milestone budget'!$C$45:$G$45,'Liquidity requirement Serial ad'!$L$74,'Milestone budget'!$C$44:$G$44,'Liquidity requirement Serial ad'!O76)</f>
        <v>0</v>
      </c>
      <c r="P78" s="505">
        <f>SUMIFS('Milestone budget'!$C$46:$G$46,'Milestone budget'!$C$45:$G$45,'Liquidity requirement Serial ad'!$P$74,'Milestone budget'!$C$44:$G$44,'Liquidity requirement Serial ad'!P76)</f>
        <v>0</v>
      </c>
      <c r="Q78" s="505">
        <f>SUMIFS('Milestone budget'!$C$46:$G$46,'Milestone budget'!$C$45:$G$45,'Liquidity requirement Serial ad'!$P$74,'Milestone budget'!$C$44:$G$44,'Liquidity requirement Serial ad'!Q76)</f>
        <v>0</v>
      </c>
      <c r="R78" s="505">
        <f>SUMIFS('Milestone budget'!$C$46:$G$46,'Milestone budget'!$C$45:$G$45,'Liquidity requirement Serial ad'!$P$74,'Milestone budget'!$C$44:$G$44,'Liquidity requirement Serial ad'!R76)</f>
        <v>0</v>
      </c>
      <c r="S78" s="505">
        <f>SUMIFS('Milestone budget'!$C$46:$G$46,'Milestone budget'!$C$45:$G$45,'Liquidity requirement Serial ad'!$P$74,'Milestone budget'!$C$44:$G$44,'Liquidity requirement Serial ad'!S76)</f>
        <v>0</v>
      </c>
      <c r="T78" s="505">
        <f>SUMIFS('Milestone budget'!$C$46:$G$46,'Milestone budget'!$C$45:$G$45,'Liquidity requirement Serial ad'!$P$74,'Milestone budget'!$C$44:$G$44,'Liquidity requirement Serial ad'!T76)</f>
        <v>0</v>
      </c>
      <c r="U78" s="505">
        <f>SUMIFS('Milestone budget'!$C$46:$G$46,'Milestone budget'!$C$45:$G$45,'Liquidity requirement Serial ad'!$P$74,'Milestone budget'!$C$44:$G$44,'Liquidity requirement Serial ad'!U76)</f>
        <v>0</v>
      </c>
      <c r="V78" s="505">
        <f>SUMIFS('Milestone budget'!$C$46:$G$46,'Milestone budget'!$C$45:$G$45,'Liquidity requirement Serial ad'!$P$74,'Milestone budget'!$C$44:$G$44,'Liquidity requirement Serial ad'!V76)</f>
        <v>0</v>
      </c>
      <c r="W78" s="505">
        <f>SUMIFS('Milestone budget'!$C$46:$G$46,'Milestone budget'!$C$45:$G$45,'Liquidity requirement Serial ad'!$P$74,'Milestone budget'!$C$44:$G$44,'Liquidity requirement Serial ad'!W76)</f>
        <v>0</v>
      </c>
      <c r="X78" s="505">
        <f>SUMIFS('Milestone budget'!$C$46:$G$46,'Milestone budget'!$C$45:$G$45,'Liquidity requirement Serial ad'!$P$74,'Milestone budget'!$C$44:$G$44,'Liquidity requirement Serial ad'!X76)</f>
        <v>0</v>
      </c>
      <c r="Y78" s="505">
        <f>SUMIFS('Milestone budget'!$C$46:$G$46,'Milestone budget'!$C$45:$G$45,'Liquidity requirement Serial ad'!$P$74,'Milestone budget'!$C$44:$G$44,'Liquidity requirement Serial ad'!Y76)</f>
        <v>0</v>
      </c>
      <c r="Z78" s="505">
        <f>SUMIFS('Milestone budget'!$C$46:$G$46,'Milestone budget'!$C$45:$G$45,'Liquidity requirement Serial ad'!$P$74,'Milestone budget'!$C$44:$G$44,'Liquidity requirement Serial ad'!Z76)</f>
        <v>0</v>
      </c>
      <c r="AA78" s="505">
        <f>SUMIFS('Milestone budget'!$C$46:$G$46,'Milestone budget'!$C$45:$G$45,'Liquidity requirement Serial ad'!$P$74,'Milestone budget'!$C$44:$G$44,'Liquidity requirement Serial ad'!AA76)</f>
        <v>0</v>
      </c>
      <c r="AB78" s="394">
        <f>SUM(I78:AA78)-C78</f>
        <v>0</v>
      </c>
      <c r="AC78" s="429"/>
    </row>
    <row r="79" spans="2:34" ht="12.75">
      <c r="B79" s="246"/>
      <c r="C79" s="248"/>
      <c r="D79" s="587"/>
      <c r="E79" s="588"/>
      <c r="F79" s="248"/>
      <c r="G79" s="428"/>
      <c r="H79" s="248"/>
      <c r="I79" s="506"/>
      <c r="J79" s="507"/>
      <c r="K79" s="507"/>
      <c r="L79" s="507"/>
      <c r="M79" s="507"/>
      <c r="N79" s="507"/>
      <c r="O79" s="507"/>
      <c r="P79" s="507"/>
      <c r="Q79" s="507"/>
      <c r="R79" s="508"/>
      <c r="S79" s="508"/>
      <c r="T79" s="507"/>
      <c r="U79" s="507"/>
      <c r="V79" s="507"/>
      <c r="W79" s="507"/>
      <c r="X79" s="507"/>
      <c r="Y79" s="507"/>
      <c r="Z79" s="507"/>
      <c r="AA79" s="507"/>
      <c r="AB79" s="394"/>
      <c r="AC79" s="429"/>
    </row>
    <row r="80" spans="2:34" ht="12.75" hidden="1" outlineLevel="1">
      <c r="B80" s="246"/>
      <c r="C80" s="248"/>
      <c r="D80" s="587"/>
      <c r="E80" s="588"/>
      <c r="F80" s="248"/>
      <c r="G80" s="428"/>
      <c r="H80" s="248"/>
      <c r="I80" s="506"/>
      <c r="J80" s="507"/>
      <c r="K80" s="507"/>
      <c r="L80" s="507"/>
      <c r="M80" s="507"/>
      <c r="N80" s="507"/>
      <c r="O80" s="507"/>
      <c r="P80" s="507"/>
      <c r="Q80" s="507"/>
      <c r="R80" s="508"/>
      <c r="S80" s="508"/>
      <c r="T80" s="507"/>
      <c r="U80" s="507"/>
      <c r="V80" s="507"/>
      <c r="W80" s="507"/>
      <c r="X80" s="507"/>
      <c r="Y80" s="507"/>
      <c r="Z80" s="507"/>
      <c r="AA80" s="507"/>
      <c r="AB80" s="394"/>
      <c r="AC80" s="429"/>
    </row>
    <row r="81" spans="2:29" ht="12.75" hidden="1" outlineLevel="1">
      <c r="B81" s="246"/>
      <c r="C81" s="248"/>
      <c r="D81" s="587"/>
      <c r="E81" s="588"/>
      <c r="F81" s="248"/>
      <c r="G81" s="428"/>
      <c r="H81" s="248"/>
      <c r="I81" s="506"/>
      <c r="J81" s="507"/>
      <c r="K81" s="507"/>
      <c r="L81" s="507"/>
      <c r="M81" s="507"/>
      <c r="N81" s="507"/>
      <c r="O81" s="507"/>
      <c r="P81" s="507"/>
      <c r="Q81" s="507"/>
      <c r="R81" s="508"/>
      <c r="S81" s="508"/>
      <c r="T81" s="507"/>
      <c r="U81" s="507"/>
      <c r="V81" s="507"/>
      <c r="W81" s="507"/>
      <c r="X81" s="507"/>
      <c r="Y81" s="507"/>
      <c r="Z81" s="507"/>
      <c r="AA81" s="507"/>
      <c r="AB81" s="394"/>
      <c r="AC81" s="429"/>
    </row>
    <row r="82" spans="2:29" ht="12.75" hidden="1" outlineLevel="1">
      <c r="B82" s="246"/>
      <c r="C82" s="248"/>
      <c r="D82" s="587"/>
      <c r="E82" s="588"/>
      <c r="F82" s="248"/>
      <c r="G82" s="428"/>
      <c r="H82" s="248"/>
      <c r="I82" s="506"/>
      <c r="J82" s="507"/>
      <c r="K82" s="507"/>
      <c r="L82" s="507"/>
      <c r="M82" s="507"/>
      <c r="N82" s="507"/>
      <c r="O82" s="507"/>
      <c r="P82" s="507"/>
      <c r="Q82" s="507"/>
      <c r="R82" s="508"/>
      <c r="S82" s="508"/>
      <c r="T82" s="507"/>
      <c r="U82" s="507"/>
      <c r="V82" s="507"/>
      <c r="W82" s="507"/>
      <c r="X82" s="507"/>
      <c r="Y82" s="507"/>
      <c r="Z82" s="507"/>
      <c r="AA82" s="507"/>
      <c r="AB82" s="394"/>
      <c r="AC82" s="429"/>
    </row>
    <row r="83" spans="2:29" ht="12.75" hidden="1" outlineLevel="1">
      <c r="B83" s="246"/>
      <c r="C83" s="248"/>
      <c r="D83" s="587"/>
      <c r="E83" s="588"/>
      <c r="F83" s="248"/>
      <c r="G83" s="428"/>
      <c r="H83" s="248"/>
      <c r="I83" s="506"/>
      <c r="J83" s="507"/>
      <c r="K83" s="507"/>
      <c r="L83" s="507"/>
      <c r="M83" s="507"/>
      <c r="N83" s="507"/>
      <c r="O83" s="507"/>
      <c r="P83" s="507"/>
      <c r="Q83" s="507"/>
      <c r="R83" s="508"/>
      <c r="S83" s="508"/>
      <c r="T83" s="507"/>
      <c r="U83" s="507"/>
      <c r="V83" s="507"/>
      <c r="W83" s="507"/>
      <c r="X83" s="507"/>
      <c r="Y83" s="507"/>
      <c r="Z83" s="507"/>
      <c r="AA83" s="507"/>
      <c r="AB83" s="394"/>
      <c r="AC83" s="429"/>
    </row>
    <row r="84" spans="2:29" ht="12.75" hidden="1" outlineLevel="1">
      <c r="B84" s="246"/>
      <c r="C84" s="248"/>
      <c r="D84" s="587"/>
      <c r="E84" s="588"/>
      <c r="F84" s="248"/>
      <c r="G84" s="428"/>
      <c r="H84" s="248"/>
      <c r="I84" s="506"/>
      <c r="J84" s="507"/>
      <c r="K84" s="507"/>
      <c r="L84" s="507"/>
      <c r="M84" s="507"/>
      <c r="N84" s="507"/>
      <c r="O84" s="507"/>
      <c r="P84" s="507"/>
      <c r="Q84" s="507"/>
      <c r="R84" s="508"/>
      <c r="S84" s="508"/>
      <c r="T84" s="507"/>
      <c r="U84" s="507"/>
      <c r="V84" s="507"/>
      <c r="W84" s="507"/>
      <c r="X84" s="507"/>
      <c r="Y84" s="507"/>
      <c r="Z84" s="507"/>
      <c r="AA84" s="507"/>
      <c r="AB84" s="394"/>
      <c r="AC84" s="429"/>
    </row>
    <row r="85" spans="2:29" ht="12.75" hidden="1" outlineLevel="1">
      <c r="B85" s="246"/>
      <c r="C85" s="248"/>
      <c r="D85" s="587"/>
      <c r="E85" s="588"/>
      <c r="F85" s="248"/>
      <c r="G85" s="428"/>
      <c r="H85" s="248"/>
      <c r="I85" s="506"/>
      <c r="J85" s="507"/>
      <c r="K85" s="507"/>
      <c r="L85" s="507"/>
      <c r="M85" s="507"/>
      <c r="N85" s="507"/>
      <c r="O85" s="507"/>
      <c r="P85" s="507"/>
      <c r="Q85" s="507"/>
      <c r="R85" s="508"/>
      <c r="S85" s="508"/>
      <c r="T85" s="507"/>
      <c r="U85" s="507"/>
      <c r="V85" s="507"/>
      <c r="W85" s="507"/>
      <c r="X85" s="507"/>
      <c r="Y85" s="507"/>
      <c r="Z85" s="507"/>
      <c r="AA85" s="507"/>
      <c r="AB85" s="394"/>
      <c r="AC85" s="429"/>
    </row>
    <row r="86" spans="2:29" ht="12.75" hidden="1" outlineLevel="1">
      <c r="B86" s="246"/>
      <c r="C86" s="248"/>
      <c r="D86" s="587"/>
      <c r="E86" s="588"/>
      <c r="F86" s="248"/>
      <c r="G86" s="428"/>
      <c r="H86" s="248"/>
      <c r="I86" s="506"/>
      <c r="J86" s="507"/>
      <c r="K86" s="507"/>
      <c r="L86" s="507"/>
      <c r="M86" s="507"/>
      <c r="N86" s="507"/>
      <c r="O86" s="507"/>
      <c r="P86" s="507"/>
      <c r="Q86" s="507"/>
      <c r="R86" s="508"/>
      <c r="S86" s="508"/>
      <c r="T86" s="507"/>
      <c r="U86" s="507"/>
      <c r="V86" s="507"/>
      <c r="W86" s="507"/>
      <c r="X86" s="507"/>
      <c r="Y86" s="507"/>
      <c r="Z86" s="507"/>
      <c r="AA86" s="507"/>
      <c r="AB86" s="394"/>
      <c r="AC86" s="429"/>
    </row>
    <row r="87" spans="2:29" ht="12.75" hidden="1" outlineLevel="1">
      <c r="B87" s="246"/>
      <c r="C87" s="248"/>
      <c r="D87" s="587"/>
      <c r="E87" s="588"/>
      <c r="F87" s="248"/>
      <c r="G87" s="428"/>
      <c r="H87" s="248"/>
      <c r="I87" s="506"/>
      <c r="J87" s="507"/>
      <c r="K87" s="507"/>
      <c r="L87" s="507"/>
      <c r="M87" s="507"/>
      <c r="N87" s="507"/>
      <c r="O87" s="507"/>
      <c r="P87" s="507"/>
      <c r="Q87" s="507"/>
      <c r="R87" s="508"/>
      <c r="S87" s="508"/>
      <c r="T87" s="507"/>
      <c r="U87" s="507"/>
      <c r="V87" s="507"/>
      <c r="W87" s="507"/>
      <c r="X87" s="507"/>
      <c r="Y87" s="507"/>
      <c r="Z87" s="507"/>
      <c r="AA87" s="507"/>
      <c r="AB87" s="394"/>
      <c r="AC87" s="429"/>
    </row>
    <row r="88" spans="2:29" ht="12.75" hidden="1" outlineLevel="1">
      <c r="B88" s="246"/>
      <c r="C88" s="248"/>
      <c r="D88" s="587"/>
      <c r="E88" s="588"/>
      <c r="F88" s="248"/>
      <c r="G88" s="428"/>
      <c r="H88" s="248"/>
      <c r="I88" s="506"/>
      <c r="J88" s="507"/>
      <c r="K88" s="507"/>
      <c r="L88" s="507"/>
      <c r="M88" s="507"/>
      <c r="N88" s="507"/>
      <c r="O88" s="507"/>
      <c r="P88" s="507"/>
      <c r="Q88" s="507"/>
      <c r="R88" s="508"/>
      <c r="S88" s="508"/>
      <c r="T88" s="507"/>
      <c r="U88" s="507"/>
      <c r="V88" s="507"/>
      <c r="W88" s="507"/>
      <c r="X88" s="507"/>
      <c r="Y88" s="507"/>
      <c r="Z88" s="507"/>
      <c r="AA88" s="507"/>
      <c r="AB88" s="394"/>
      <c r="AC88" s="429"/>
    </row>
    <row r="89" spans="2:29" ht="12.75" hidden="1" outlineLevel="1">
      <c r="B89" s="246"/>
      <c r="C89" s="248"/>
      <c r="D89" s="587"/>
      <c r="E89" s="588"/>
      <c r="F89" s="248"/>
      <c r="G89" s="428"/>
      <c r="H89" s="248"/>
      <c r="I89" s="506"/>
      <c r="J89" s="507"/>
      <c r="K89" s="507"/>
      <c r="L89" s="507"/>
      <c r="M89" s="507"/>
      <c r="N89" s="507"/>
      <c r="O89" s="507"/>
      <c r="P89" s="507"/>
      <c r="Q89" s="507"/>
      <c r="R89" s="508"/>
      <c r="S89" s="508"/>
      <c r="T89" s="507"/>
      <c r="U89" s="507"/>
      <c r="V89" s="507"/>
      <c r="W89" s="507"/>
      <c r="X89" s="507"/>
      <c r="Y89" s="507"/>
      <c r="Z89" s="507"/>
      <c r="AA89" s="507"/>
      <c r="AB89" s="394"/>
    </row>
    <row r="90" spans="2:29" ht="12.75" hidden="1" outlineLevel="1">
      <c r="B90" s="246"/>
      <c r="C90" s="248"/>
      <c r="D90" s="587"/>
      <c r="E90" s="588"/>
      <c r="F90" s="248"/>
      <c r="G90" s="428"/>
      <c r="H90" s="248"/>
      <c r="I90" s="506"/>
      <c r="J90" s="507"/>
      <c r="K90" s="507"/>
      <c r="L90" s="507"/>
      <c r="M90" s="507"/>
      <c r="N90" s="507"/>
      <c r="O90" s="507"/>
      <c r="P90" s="507"/>
      <c r="Q90" s="507"/>
      <c r="R90" s="508"/>
      <c r="S90" s="508"/>
      <c r="T90" s="507"/>
      <c r="U90" s="507"/>
      <c r="V90" s="507"/>
      <c r="W90" s="507"/>
      <c r="X90" s="507"/>
      <c r="Y90" s="507"/>
      <c r="Z90" s="507"/>
      <c r="AA90" s="507"/>
      <c r="AB90" s="394"/>
    </row>
    <row r="91" spans="2:29" ht="12.75" hidden="1" outlineLevel="1">
      <c r="B91" s="246"/>
      <c r="C91" s="248"/>
      <c r="D91" s="587"/>
      <c r="E91" s="588"/>
      <c r="F91" s="248"/>
      <c r="G91" s="428"/>
      <c r="H91" s="248"/>
      <c r="I91" s="506"/>
      <c r="J91" s="507"/>
      <c r="K91" s="507"/>
      <c r="L91" s="507"/>
      <c r="M91" s="507"/>
      <c r="N91" s="507"/>
      <c r="O91" s="507"/>
      <c r="P91" s="507"/>
      <c r="Q91" s="507"/>
      <c r="R91" s="508"/>
      <c r="S91" s="508"/>
      <c r="T91" s="507"/>
      <c r="U91" s="507"/>
      <c r="V91" s="507"/>
      <c r="W91" s="507"/>
      <c r="X91" s="507"/>
      <c r="Y91" s="507"/>
      <c r="Z91" s="507"/>
      <c r="AA91" s="507"/>
      <c r="AB91" s="394"/>
    </row>
    <row r="92" spans="2:29" ht="12.75" hidden="1" outlineLevel="1">
      <c r="B92" s="246"/>
      <c r="C92" s="248"/>
      <c r="D92" s="587"/>
      <c r="E92" s="588"/>
      <c r="F92" s="248"/>
      <c r="G92" s="428"/>
      <c r="H92" s="248"/>
      <c r="I92" s="506"/>
      <c r="J92" s="507"/>
      <c r="K92" s="507"/>
      <c r="L92" s="507"/>
      <c r="M92" s="507"/>
      <c r="N92" s="507"/>
      <c r="O92" s="507"/>
      <c r="P92" s="507"/>
      <c r="Q92" s="507"/>
      <c r="R92" s="508"/>
      <c r="S92" s="508"/>
      <c r="T92" s="507"/>
      <c r="U92" s="507"/>
      <c r="V92" s="507"/>
      <c r="W92" s="507"/>
      <c r="X92" s="507"/>
      <c r="Y92" s="507"/>
      <c r="Z92" s="507"/>
      <c r="AA92" s="507"/>
      <c r="AB92" s="394"/>
    </row>
    <row r="93" spans="2:29" ht="12.75" hidden="1" outlineLevel="1">
      <c r="B93" s="246"/>
      <c r="C93" s="248"/>
      <c r="D93" s="587"/>
      <c r="E93" s="588"/>
      <c r="F93" s="248"/>
      <c r="G93" s="428"/>
      <c r="H93" s="248"/>
      <c r="I93" s="506"/>
      <c r="J93" s="507"/>
      <c r="K93" s="507"/>
      <c r="L93" s="507"/>
      <c r="M93" s="507"/>
      <c r="N93" s="507"/>
      <c r="O93" s="507"/>
      <c r="P93" s="507"/>
      <c r="Q93" s="507"/>
      <c r="R93" s="508"/>
      <c r="S93" s="508"/>
      <c r="T93" s="507"/>
      <c r="U93" s="507"/>
      <c r="V93" s="507"/>
      <c r="W93" s="507"/>
      <c r="X93" s="507"/>
      <c r="Y93" s="507"/>
      <c r="Z93" s="507"/>
      <c r="AA93" s="507"/>
      <c r="AB93" s="394"/>
    </row>
    <row r="94" spans="2:29" ht="12.75" hidden="1" outlineLevel="1">
      <c r="B94" s="246"/>
      <c r="C94" s="248"/>
      <c r="D94" s="587"/>
      <c r="E94" s="588"/>
      <c r="F94" s="248"/>
      <c r="G94" s="428"/>
      <c r="H94" s="248"/>
      <c r="I94" s="506"/>
      <c r="J94" s="507"/>
      <c r="K94" s="507"/>
      <c r="L94" s="507"/>
      <c r="M94" s="507"/>
      <c r="N94" s="507"/>
      <c r="O94" s="507"/>
      <c r="P94" s="507"/>
      <c r="Q94" s="507"/>
      <c r="R94" s="508"/>
      <c r="S94" s="508"/>
      <c r="T94" s="507"/>
      <c r="U94" s="507"/>
      <c r="V94" s="507"/>
      <c r="W94" s="507"/>
      <c r="X94" s="507"/>
      <c r="Y94" s="507"/>
      <c r="Z94" s="507"/>
      <c r="AA94" s="507"/>
      <c r="AB94" s="394"/>
    </row>
    <row r="95" spans="2:29" ht="12.75" hidden="1" outlineLevel="1">
      <c r="B95" s="246"/>
      <c r="C95" s="248"/>
      <c r="D95" s="587"/>
      <c r="E95" s="588"/>
      <c r="F95" s="248"/>
      <c r="G95" s="428"/>
      <c r="H95" s="248"/>
      <c r="I95" s="506"/>
      <c r="J95" s="507"/>
      <c r="K95" s="507"/>
      <c r="L95" s="507"/>
      <c r="M95" s="507"/>
      <c r="N95" s="507"/>
      <c r="O95" s="507"/>
      <c r="P95" s="507"/>
      <c r="Q95" s="507"/>
      <c r="R95" s="508"/>
      <c r="S95" s="508"/>
      <c r="T95" s="507"/>
      <c r="U95" s="507"/>
      <c r="V95" s="507"/>
      <c r="W95" s="507"/>
      <c r="X95" s="507"/>
      <c r="Y95" s="507"/>
      <c r="Z95" s="507"/>
      <c r="AA95" s="507"/>
      <c r="AB95" s="394"/>
    </row>
    <row r="96" spans="2:29" ht="12.75" hidden="1" outlineLevel="1">
      <c r="B96" s="246"/>
      <c r="C96" s="248"/>
      <c r="D96" s="587"/>
      <c r="E96" s="588"/>
      <c r="F96" s="248"/>
      <c r="G96" s="428"/>
      <c r="H96" s="248"/>
      <c r="I96" s="506"/>
      <c r="J96" s="507"/>
      <c r="K96" s="507"/>
      <c r="L96" s="507"/>
      <c r="M96" s="507"/>
      <c r="N96" s="507"/>
      <c r="O96" s="507"/>
      <c r="P96" s="507"/>
      <c r="Q96" s="507"/>
      <c r="R96" s="508"/>
      <c r="S96" s="508"/>
      <c r="T96" s="507"/>
      <c r="U96" s="507"/>
      <c r="V96" s="507"/>
      <c r="W96" s="507"/>
      <c r="X96" s="507"/>
      <c r="Y96" s="507"/>
      <c r="Z96" s="507"/>
      <c r="AA96" s="507"/>
      <c r="AB96" s="394"/>
    </row>
    <row r="97" spans="2:34" ht="12.75" hidden="1" outlineLevel="1">
      <c r="B97" s="246"/>
      <c r="C97" s="248"/>
      <c r="D97" s="587"/>
      <c r="E97" s="588"/>
      <c r="F97" s="248"/>
      <c r="G97" s="428"/>
      <c r="H97" s="248"/>
      <c r="I97" s="506"/>
      <c r="J97" s="507"/>
      <c r="K97" s="507"/>
      <c r="L97" s="507"/>
      <c r="M97" s="507"/>
      <c r="N97" s="507"/>
      <c r="O97" s="507"/>
      <c r="P97" s="507"/>
      <c r="Q97" s="507"/>
      <c r="R97" s="508"/>
      <c r="S97" s="508"/>
      <c r="T97" s="507"/>
      <c r="U97" s="507"/>
      <c r="V97" s="507"/>
      <c r="W97" s="507"/>
      <c r="X97" s="507"/>
      <c r="Y97" s="507"/>
      <c r="Z97" s="507"/>
      <c r="AA97" s="507"/>
      <c r="AB97" s="394"/>
    </row>
    <row r="98" spans="2:34" ht="12.75" hidden="1" outlineLevel="1">
      <c r="B98" s="246"/>
      <c r="C98" s="248"/>
      <c r="D98" s="587"/>
      <c r="E98" s="588"/>
      <c r="F98" s="248"/>
      <c r="G98" s="428"/>
      <c r="H98" s="248"/>
      <c r="I98" s="506"/>
      <c r="J98" s="506"/>
      <c r="K98" s="506"/>
      <c r="L98" s="506"/>
      <c r="M98" s="506"/>
      <c r="N98" s="506"/>
      <c r="O98" s="506"/>
      <c r="P98" s="506"/>
      <c r="Q98" s="506"/>
      <c r="R98" s="506"/>
      <c r="S98" s="506"/>
      <c r="T98" s="506"/>
      <c r="U98" s="506"/>
      <c r="V98" s="506"/>
      <c r="W98" s="506"/>
      <c r="X98" s="506"/>
      <c r="Y98" s="506"/>
      <c r="Z98" s="506"/>
      <c r="AA98" s="506"/>
      <c r="AB98" s="394"/>
    </row>
    <row r="99" spans="2:34" ht="12.75" hidden="1" outlineLevel="1">
      <c r="B99" s="246"/>
      <c r="C99" s="248"/>
      <c r="D99" s="587"/>
      <c r="E99" s="588"/>
      <c r="F99" s="248"/>
      <c r="G99" s="428"/>
      <c r="H99" s="248"/>
      <c r="I99" s="506"/>
      <c r="J99" s="507"/>
      <c r="K99" s="507"/>
      <c r="L99" s="507"/>
      <c r="M99" s="508"/>
      <c r="N99" s="508"/>
      <c r="O99" s="508"/>
      <c r="P99" s="508"/>
      <c r="Q99" s="508"/>
      <c r="R99" s="508"/>
      <c r="S99" s="508"/>
      <c r="T99" s="507"/>
      <c r="U99" s="507"/>
      <c r="V99" s="507"/>
      <c r="W99" s="507"/>
      <c r="X99" s="507"/>
      <c r="Y99" s="507"/>
      <c r="Z99" s="507"/>
      <c r="AA99" s="507"/>
      <c r="AB99" s="394"/>
    </row>
    <row r="100" spans="2:34" ht="12.75" hidden="1" outlineLevel="1">
      <c r="B100" s="246"/>
      <c r="C100" s="248"/>
      <c r="D100" s="587"/>
      <c r="E100" s="588"/>
      <c r="F100" s="248"/>
      <c r="G100" s="428"/>
      <c r="H100" s="248"/>
      <c r="I100" s="506"/>
      <c r="J100" s="507"/>
      <c r="K100" s="507"/>
      <c r="L100" s="507"/>
      <c r="M100" s="508"/>
      <c r="N100" s="508"/>
      <c r="O100" s="508"/>
      <c r="P100" s="508"/>
      <c r="Q100" s="508"/>
      <c r="R100" s="508"/>
      <c r="S100" s="508"/>
      <c r="T100" s="507"/>
      <c r="U100" s="507"/>
      <c r="V100" s="507"/>
      <c r="W100" s="507"/>
      <c r="X100" s="507"/>
      <c r="Y100" s="507"/>
      <c r="Z100" s="507"/>
      <c r="AA100" s="507"/>
      <c r="AB100" s="394"/>
    </row>
    <row r="101" spans="2:34" ht="12.75" hidden="1" outlineLevel="1">
      <c r="B101" s="246"/>
      <c r="C101" s="248"/>
      <c r="D101" s="587"/>
      <c r="E101" s="588"/>
      <c r="F101" s="248"/>
      <c r="G101" s="428"/>
      <c r="H101" s="248"/>
      <c r="I101" s="506"/>
      <c r="J101" s="507"/>
      <c r="K101" s="507"/>
      <c r="L101" s="507"/>
      <c r="M101" s="508"/>
      <c r="N101" s="508"/>
      <c r="O101" s="508"/>
      <c r="P101" s="508"/>
      <c r="Q101" s="508"/>
      <c r="R101" s="508"/>
      <c r="S101" s="508"/>
      <c r="T101" s="507"/>
      <c r="U101" s="507"/>
      <c r="V101" s="507"/>
      <c r="W101" s="507"/>
      <c r="X101" s="507"/>
      <c r="Y101" s="507"/>
      <c r="Z101" s="507"/>
      <c r="AA101" s="507"/>
      <c r="AB101" s="394"/>
    </row>
    <row r="102" spans="2:34" ht="12.75" hidden="1" outlineLevel="1">
      <c r="B102" s="246"/>
      <c r="C102" s="248"/>
      <c r="D102" s="587"/>
      <c r="E102" s="588"/>
      <c r="F102" s="248"/>
      <c r="G102" s="428"/>
      <c r="H102" s="248"/>
      <c r="I102" s="506"/>
      <c r="J102" s="507"/>
      <c r="K102" s="507"/>
      <c r="L102" s="507"/>
      <c r="M102" s="508"/>
      <c r="N102" s="508"/>
      <c r="O102" s="508"/>
      <c r="P102" s="508"/>
      <c r="Q102" s="508"/>
      <c r="R102" s="508"/>
      <c r="S102" s="508"/>
      <c r="T102" s="507"/>
      <c r="U102" s="507"/>
      <c r="V102" s="507"/>
      <c r="W102" s="507"/>
      <c r="X102" s="507"/>
      <c r="Y102" s="507"/>
      <c r="Z102" s="507"/>
      <c r="AA102" s="507"/>
      <c r="AB102" s="394"/>
    </row>
    <row r="103" spans="2:34" ht="12.75" hidden="1" outlineLevel="1">
      <c r="B103" s="246"/>
      <c r="C103" s="248"/>
      <c r="D103" s="587"/>
      <c r="E103" s="588"/>
      <c r="F103" s="248"/>
      <c r="G103" s="428"/>
      <c r="H103" s="248"/>
      <c r="I103" s="506"/>
      <c r="J103" s="507"/>
      <c r="K103" s="507"/>
      <c r="L103" s="507"/>
      <c r="M103" s="508"/>
      <c r="N103" s="508"/>
      <c r="O103" s="508"/>
      <c r="P103" s="508"/>
      <c r="Q103" s="508"/>
      <c r="R103" s="508"/>
      <c r="S103" s="508"/>
      <c r="T103" s="507"/>
      <c r="U103" s="507"/>
      <c r="V103" s="507"/>
      <c r="W103" s="507"/>
      <c r="X103" s="507"/>
      <c r="Y103" s="507"/>
      <c r="Z103" s="507"/>
      <c r="AA103" s="507"/>
      <c r="AB103" s="394"/>
    </row>
    <row r="104" spans="2:34" ht="12.75" hidden="1" outlineLevel="1">
      <c r="B104" s="246"/>
      <c r="C104" s="248"/>
      <c r="D104" s="587"/>
      <c r="E104" s="588"/>
      <c r="F104" s="248"/>
      <c r="G104" s="428"/>
      <c r="H104" s="248"/>
      <c r="I104" s="506"/>
      <c r="J104" s="507"/>
      <c r="K104" s="507"/>
      <c r="L104" s="507"/>
      <c r="M104" s="508"/>
      <c r="N104" s="508"/>
      <c r="O104" s="508"/>
      <c r="P104" s="508"/>
      <c r="Q104" s="508"/>
      <c r="R104" s="508"/>
      <c r="S104" s="508"/>
      <c r="T104" s="507"/>
      <c r="U104" s="507"/>
      <c r="V104" s="507"/>
      <c r="W104" s="507"/>
      <c r="X104" s="507"/>
      <c r="Y104" s="507"/>
      <c r="Z104" s="507"/>
      <c r="AA104" s="507"/>
      <c r="AB104" s="394"/>
    </row>
    <row r="105" spans="2:34" ht="12.75" hidden="1" outlineLevel="1">
      <c r="B105" s="246"/>
      <c r="C105" s="248"/>
      <c r="D105" s="587"/>
      <c r="E105" s="588"/>
      <c r="F105" s="248"/>
      <c r="G105" s="428"/>
      <c r="H105" s="248"/>
      <c r="I105" s="506"/>
      <c r="J105" s="507"/>
      <c r="K105" s="507"/>
      <c r="L105" s="507"/>
      <c r="M105" s="508"/>
      <c r="N105" s="508"/>
      <c r="O105" s="508"/>
      <c r="P105" s="508"/>
      <c r="Q105" s="508"/>
      <c r="R105" s="508"/>
      <c r="S105" s="508"/>
      <c r="T105" s="507"/>
      <c r="U105" s="507"/>
      <c r="V105" s="507"/>
      <c r="W105" s="507"/>
      <c r="X105" s="507"/>
      <c r="Y105" s="507"/>
      <c r="Z105" s="507"/>
      <c r="AA105" s="507"/>
      <c r="AB105" s="394"/>
    </row>
    <row r="106" spans="2:34" ht="12.75" collapsed="1">
      <c r="B106" s="246" t="s">
        <v>200</v>
      </c>
      <c r="C106" s="248">
        <f>SUM(I106:AA106)</f>
        <v>0</v>
      </c>
      <c r="D106" s="587"/>
      <c r="E106" s="588"/>
      <c r="F106" s="248"/>
      <c r="G106" s="428"/>
      <c r="H106" s="248"/>
      <c r="I106" s="505">
        <f>SUM(I77:I105)</f>
        <v>0</v>
      </c>
      <c r="J106" s="505">
        <f t="shared" ref="J106:AB106" si="17">SUM(J77:J105)</f>
        <v>0</v>
      </c>
      <c r="K106" s="505">
        <f t="shared" si="17"/>
        <v>0</v>
      </c>
      <c r="L106" s="505">
        <f t="shared" si="17"/>
        <v>0</v>
      </c>
      <c r="M106" s="505">
        <f t="shared" si="17"/>
        <v>0</v>
      </c>
      <c r="N106" s="505">
        <f t="shared" si="17"/>
        <v>0</v>
      </c>
      <c r="O106" s="505">
        <f t="shared" si="17"/>
        <v>0</v>
      </c>
      <c r="P106" s="505">
        <f t="shared" si="17"/>
        <v>0</v>
      </c>
      <c r="Q106" s="505">
        <f t="shared" si="17"/>
        <v>0</v>
      </c>
      <c r="R106" s="505">
        <f t="shared" si="17"/>
        <v>0</v>
      </c>
      <c r="S106" s="505">
        <f t="shared" si="17"/>
        <v>0</v>
      </c>
      <c r="T106" s="505">
        <f t="shared" si="17"/>
        <v>0</v>
      </c>
      <c r="U106" s="505">
        <f t="shared" si="17"/>
        <v>0</v>
      </c>
      <c r="V106" s="505">
        <f t="shared" si="17"/>
        <v>0</v>
      </c>
      <c r="W106" s="505">
        <f t="shared" si="17"/>
        <v>0</v>
      </c>
      <c r="X106" s="505">
        <f t="shared" si="17"/>
        <v>0</v>
      </c>
      <c r="Y106" s="505">
        <f t="shared" si="17"/>
        <v>0</v>
      </c>
      <c r="Z106" s="505">
        <f t="shared" si="17"/>
        <v>0</v>
      </c>
      <c r="AA106" s="505">
        <f t="shared" si="17"/>
        <v>0</v>
      </c>
      <c r="AB106" s="394">
        <f t="shared" si="17"/>
        <v>0</v>
      </c>
    </row>
    <row r="108" spans="2:34" ht="15" customHeight="1">
      <c r="B108" s="252" t="s">
        <v>286</v>
      </c>
      <c r="C108" s="235"/>
      <c r="D108" s="235"/>
      <c r="E108" s="235"/>
      <c r="F108" s="235"/>
      <c r="G108" s="235"/>
      <c r="H108" s="235"/>
      <c r="I108" s="235"/>
      <c r="J108" s="235"/>
      <c r="K108" s="235"/>
      <c r="L108" s="235"/>
      <c r="M108" s="235"/>
      <c r="N108" s="235"/>
      <c r="O108" s="235"/>
      <c r="P108" s="235"/>
      <c r="Q108" s="235"/>
      <c r="R108" s="235"/>
      <c r="S108" s="235"/>
      <c r="T108" s="235"/>
      <c r="U108" s="235"/>
      <c r="V108" s="235"/>
      <c r="W108" s="235"/>
      <c r="X108" s="235"/>
      <c r="Y108" s="235"/>
      <c r="Z108" s="235"/>
      <c r="AA108" s="235"/>
      <c r="AB108" s="235"/>
      <c r="AC108" s="235"/>
      <c r="AD108" s="235"/>
      <c r="AE108" s="235"/>
      <c r="AF108" s="235"/>
      <c r="AG108" s="235"/>
      <c r="AH108" s="236"/>
    </row>
    <row r="109" spans="2:34">
      <c r="B109" s="589"/>
      <c r="C109" s="590"/>
      <c r="D109" s="590"/>
      <c r="E109" s="590"/>
      <c r="F109" s="590"/>
      <c r="G109" s="590"/>
      <c r="H109" s="590"/>
      <c r="I109" s="590"/>
      <c r="J109" s="590"/>
      <c r="K109" s="590"/>
      <c r="L109" s="590"/>
      <c r="M109" s="590"/>
      <c r="N109" s="590"/>
      <c r="O109" s="590"/>
      <c r="P109" s="590"/>
      <c r="Q109" s="590"/>
      <c r="R109" s="590"/>
      <c r="S109" s="590"/>
      <c r="T109" s="590"/>
      <c r="U109" s="590"/>
      <c r="V109" s="590"/>
      <c r="W109" s="590"/>
      <c r="X109" s="590"/>
      <c r="Y109" s="590"/>
      <c r="Z109" s="590"/>
      <c r="AA109" s="590"/>
      <c r="AB109" s="590"/>
      <c r="AC109" s="590"/>
      <c r="AD109" s="590"/>
      <c r="AE109" s="590"/>
      <c r="AF109" s="590"/>
      <c r="AG109" s="590"/>
      <c r="AH109" s="591"/>
    </row>
    <row r="110" spans="2:34">
      <c r="B110" s="589"/>
      <c r="C110" s="590"/>
      <c r="D110" s="590"/>
      <c r="E110" s="590"/>
      <c r="F110" s="590"/>
      <c r="G110" s="590"/>
      <c r="H110" s="590"/>
      <c r="I110" s="590"/>
      <c r="J110" s="590"/>
      <c r="K110" s="590"/>
      <c r="L110" s="590"/>
      <c r="M110" s="590"/>
      <c r="N110" s="590"/>
      <c r="O110" s="590"/>
      <c r="P110" s="590"/>
      <c r="Q110" s="590"/>
      <c r="R110" s="590"/>
      <c r="S110" s="590"/>
      <c r="T110" s="590"/>
      <c r="U110" s="590"/>
      <c r="V110" s="590"/>
      <c r="W110" s="590"/>
      <c r="X110" s="590"/>
      <c r="Y110" s="590"/>
      <c r="Z110" s="590"/>
      <c r="AA110" s="590"/>
      <c r="AB110" s="590"/>
      <c r="AC110" s="590"/>
      <c r="AD110" s="590"/>
      <c r="AE110" s="590"/>
      <c r="AF110" s="590"/>
      <c r="AG110" s="590"/>
      <c r="AH110" s="591"/>
    </row>
    <row r="111" spans="2:34">
      <c r="B111" s="589"/>
      <c r="C111" s="590"/>
      <c r="D111" s="590"/>
      <c r="E111" s="590"/>
      <c r="F111" s="590"/>
      <c r="G111" s="590"/>
      <c r="H111" s="590"/>
      <c r="I111" s="590"/>
      <c r="J111" s="590"/>
      <c r="K111" s="590"/>
      <c r="L111" s="590"/>
      <c r="M111" s="590"/>
      <c r="N111" s="590"/>
      <c r="O111" s="590"/>
      <c r="P111" s="590"/>
      <c r="Q111" s="590"/>
      <c r="R111" s="590"/>
      <c r="S111" s="590"/>
      <c r="T111" s="590"/>
      <c r="U111" s="590"/>
      <c r="V111" s="590"/>
      <c r="W111" s="590"/>
      <c r="X111" s="590"/>
      <c r="Y111" s="590"/>
      <c r="Z111" s="590"/>
      <c r="AA111" s="590"/>
      <c r="AB111" s="590"/>
      <c r="AC111" s="590"/>
      <c r="AD111" s="590"/>
      <c r="AE111" s="590"/>
      <c r="AF111" s="590"/>
      <c r="AG111" s="590"/>
      <c r="AH111" s="591"/>
    </row>
    <row r="112" spans="2:34">
      <c r="B112" s="589"/>
      <c r="C112" s="590"/>
      <c r="D112" s="590"/>
      <c r="E112" s="590"/>
      <c r="F112" s="590"/>
      <c r="G112" s="590"/>
      <c r="H112" s="590"/>
      <c r="I112" s="590"/>
      <c r="J112" s="590"/>
      <c r="K112" s="590"/>
      <c r="L112" s="590"/>
      <c r="M112" s="590"/>
      <c r="N112" s="590"/>
      <c r="O112" s="590"/>
      <c r="P112" s="590"/>
      <c r="Q112" s="590"/>
      <c r="R112" s="590"/>
      <c r="S112" s="590"/>
      <c r="T112" s="590"/>
      <c r="U112" s="590"/>
      <c r="V112" s="590"/>
      <c r="W112" s="590"/>
      <c r="X112" s="590"/>
      <c r="Y112" s="590"/>
      <c r="Z112" s="590"/>
      <c r="AA112" s="590"/>
      <c r="AB112" s="590"/>
      <c r="AC112" s="590"/>
      <c r="AD112" s="590"/>
      <c r="AE112" s="590"/>
      <c r="AF112" s="590"/>
      <c r="AG112" s="590"/>
      <c r="AH112" s="591"/>
    </row>
    <row r="113" spans="2:34">
      <c r="B113" s="589"/>
      <c r="C113" s="590"/>
      <c r="D113" s="590"/>
      <c r="E113" s="590"/>
      <c r="F113" s="590"/>
      <c r="G113" s="590"/>
      <c r="H113" s="590"/>
      <c r="I113" s="590"/>
      <c r="J113" s="590"/>
      <c r="K113" s="590"/>
      <c r="L113" s="590"/>
      <c r="M113" s="590"/>
      <c r="N113" s="590"/>
      <c r="O113" s="590"/>
      <c r="P113" s="590"/>
      <c r="Q113" s="590"/>
      <c r="R113" s="590"/>
      <c r="S113" s="590"/>
      <c r="T113" s="590"/>
      <c r="U113" s="590"/>
      <c r="V113" s="590"/>
      <c r="W113" s="590"/>
      <c r="X113" s="590"/>
      <c r="Y113" s="590"/>
      <c r="Z113" s="590"/>
      <c r="AA113" s="590"/>
      <c r="AB113" s="590"/>
      <c r="AC113" s="590"/>
      <c r="AD113" s="590"/>
      <c r="AE113" s="590"/>
      <c r="AF113" s="590"/>
      <c r="AG113" s="590"/>
      <c r="AH113" s="591"/>
    </row>
    <row r="114" spans="2:34">
      <c r="B114" s="589"/>
      <c r="C114" s="590"/>
      <c r="D114" s="590"/>
      <c r="E114" s="590"/>
      <c r="F114" s="590"/>
      <c r="G114" s="590"/>
      <c r="H114" s="590"/>
      <c r="I114" s="590"/>
      <c r="J114" s="590"/>
      <c r="K114" s="590"/>
      <c r="L114" s="590"/>
      <c r="M114" s="590"/>
      <c r="N114" s="590"/>
      <c r="O114" s="590"/>
      <c r="P114" s="590"/>
      <c r="Q114" s="590"/>
      <c r="R114" s="590"/>
      <c r="S114" s="590"/>
      <c r="T114" s="590"/>
      <c r="U114" s="590"/>
      <c r="V114" s="590"/>
      <c r="W114" s="590"/>
      <c r="X114" s="590"/>
      <c r="Y114" s="590"/>
      <c r="Z114" s="590"/>
      <c r="AA114" s="590"/>
      <c r="AB114" s="590"/>
      <c r="AC114" s="590"/>
      <c r="AD114" s="590"/>
      <c r="AE114" s="590"/>
      <c r="AF114" s="590"/>
      <c r="AG114" s="590"/>
      <c r="AH114" s="591"/>
    </row>
    <row r="115" spans="2:34">
      <c r="B115" s="589"/>
      <c r="C115" s="590"/>
      <c r="D115" s="590"/>
      <c r="E115" s="590"/>
      <c r="F115" s="590"/>
      <c r="G115" s="590"/>
      <c r="H115" s="590"/>
      <c r="I115" s="590"/>
      <c r="J115" s="590"/>
      <c r="K115" s="590"/>
      <c r="L115" s="590"/>
      <c r="M115" s="590"/>
      <c r="N115" s="590"/>
      <c r="O115" s="590"/>
      <c r="P115" s="590"/>
      <c r="Q115" s="590"/>
      <c r="R115" s="590"/>
      <c r="S115" s="590"/>
      <c r="T115" s="590"/>
      <c r="U115" s="590"/>
      <c r="V115" s="590"/>
      <c r="W115" s="590"/>
      <c r="X115" s="590"/>
      <c r="Y115" s="590"/>
      <c r="Z115" s="590"/>
      <c r="AA115" s="590"/>
      <c r="AB115" s="590"/>
      <c r="AC115" s="590"/>
      <c r="AD115" s="590"/>
      <c r="AE115" s="590"/>
      <c r="AF115" s="590"/>
      <c r="AG115" s="590"/>
      <c r="AH115" s="591"/>
    </row>
    <row r="116" spans="2:34">
      <c r="B116" s="589"/>
      <c r="C116" s="590"/>
      <c r="D116" s="590"/>
      <c r="E116" s="590"/>
      <c r="F116" s="590"/>
      <c r="G116" s="590"/>
      <c r="H116" s="590"/>
      <c r="I116" s="590"/>
      <c r="J116" s="590"/>
      <c r="K116" s="590"/>
      <c r="L116" s="590"/>
      <c r="M116" s="590"/>
      <c r="N116" s="590"/>
      <c r="O116" s="590"/>
      <c r="P116" s="590"/>
      <c r="Q116" s="590"/>
      <c r="R116" s="590"/>
      <c r="S116" s="590"/>
      <c r="T116" s="590"/>
      <c r="U116" s="590"/>
      <c r="V116" s="590"/>
      <c r="W116" s="590"/>
      <c r="X116" s="590"/>
      <c r="Y116" s="590"/>
      <c r="Z116" s="590"/>
      <c r="AA116" s="590"/>
      <c r="AB116" s="590"/>
      <c r="AC116" s="590"/>
      <c r="AD116" s="590"/>
      <c r="AE116" s="590"/>
      <c r="AF116" s="590"/>
      <c r="AG116" s="590"/>
      <c r="AH116" s="591"/>
    </row>
    <row r="117" spans="2:34">
      <c r="B117" s="589"/>
      <c r="C117" s="590"/>
      <c r="D117" s="590"/>
      <c r="E117" s="590"/>
      <c r="F117" s="590"/>
      <c r="G117" s="590"/>
      <c r="H117" s="590"/>
      <c r="I117" s="590"/>
      <c r="J117" s="590"/>
      <c r="K117" s="590"/>
      <c r="L117" s="590"/>
      <c r="M117" s="590"/>
      <c r="N117" s="590"/>
      <c r="O117" s="590"/>
      <c r="P117" s="590"/>
      <c r="Q117" s="590"/>
      <c r="R117" s="590"/>
      <c r="S117" s="590"/>
      <c r="T117" s="590"/>
      <c r="U117" s="590"/>
      <c r="V117" s="590"/>
      <c r="W117" s="590"/>
      <c r="X117" s="590"/>
      <c r="Y117" s="590"/>
      <c r="Z117" s="590"/>
      <c r="AA117" s="590"/>
      <c r="AB117" s="590"/>
      <c r="AC117" s="590"/>
      <c r="AD117" s="590"/>
      <c r="AE117" s="590"/>
      <c r="AF117" s="590"/>
      <c r="AG117" s="590"/>
      <c r="AH117" s="591"/>
    </row>
    <row r="118" spans="2:34">
      <c r="B118" s="589"/>
      <c r="C118" s="590"/>
      <c r="D118" s="590"/>
      <c r="E118" s="590"/>
      <c r="F118" s="590"/>
      <c r="G118" s="590"/>
      <c r="H118" s="590"/>
      <c r="I118" s="590"/>
      <c r="J118" s="590"/>
      <c r="K118" s="590"/>
      <c r="L118" s="590"/>
      <c r="M118" s="590"/>
      <c r="N118" s="590"/>
      <c r="O118" s="590"/>
      <c r="P118" s="590"/>
      <c r="Q118" s="590"/>
      <c r="R118" s="590"/>
      <c r="S118" s="590"/>
      <c r="T118" s="590"/>
      <c r="U118" s="590"/>
      <c r="V118" s="590"/>
      <c r="W118" s="590"/>
      <c r="X118" s="590"/>
      <c r="Y118" s="590"/>
      <c r="Z118" s="590"/>
      <c r="AA118" s="590"/>
      <c r="AB118" s="590"/>
      <c r="AC118" s="590"/>
      <c r="AD118" s="590"/>
      <c r="AE118" s="590"/>
      <c r="AF118" s="590"/>
      <c r="AG118" s="590"/>
      <c r="AH118" s="591"/>
    </row>
    <row r="119" spans="2:34">
      <c r="B119" s="589"/>
      <c r="C119" s="590"/>
      <c r="D119" s="590"/>
      <c r="E119" s="590"/>
      <c r="F119" s="590"/>
      <c r="G119" s="590"/>
      <c r="H119" s="590"/>
      <c r="I119" s="590"/>
      <c r="J119" s="590"/>
      <c r="K119" s="590"/>
      <c r="L119" s="590"/>
      <c r="M119" s="590"/>
      <c r="N119" s="590"/>
      <c r="O119" s="590"/>
      <c r="P119" s="590"/>
      <c r="Q119" s="590"/>
      <c r="R119" s="590"/>
      <c r="S119" s="590"/>
      <c r="T119" s="590"/>
      <c r="U119" s="590"/>
      <c r="V119" s="590"/>
      <c r="W119" s="590"/>
      <c r="X119" s="590"/>
      <c r="Y119" s="590"/>
      <c r="Z119" s="590"/>
      <c r="AA119" s="590"/>
      <c r="AB119" s="590"/>
      <c r="AC119" s="590"/>
      <c r="AD119" s="590"/>
      <c r="AE119" s="590"/>
      <c r="AF119" s="590"/>
      <c r="AG119" s="590"/>
      <c r="AH119" s="591"/>
    </row>
    <row r="120" spans="2:34">
      <c r="B120" s="589"/>
      <c r="C120" s="590"/>
      <c r="D120" s="590"/>
      <c r="E120" s="590"/>
      <c r="F120" s="590"/>
      <c r="G120" s="590"/>
      <c r="H120" s="590"/>
      <c r="I120" s="590"/>
      <c r="J120" s="590"/>
      <c r="K120" s="590"/>
      <c r="L120" s="590"/>
      <c r="M120" s="590"/>
      <c r="N120" s="590"/>
      <c r="O120" s="590"/>
      <c r="P120" s="590"/>
      <c r="Q120" s="590"/>
      <c r="R120" s="590"/>
      <c r="S120" s="590"/>
      <c r="T120" s="590"/>
      <c r="U120" s="590"/>
      <c r="V120" s="590"/>
      <c r="W120" s="590"/>
      <c r="X120" s="590"/>
      <c r="Y120" s="590"/>
      <c r="Z120" s="590"/>
      <c r="AA120" s="590"/>
      <c r="AB120" s="590"/>
      <c r="AC120" s="590"/>
      <c r="AD120" s="590"/>
      <c r="AE120" s="590"/>
      <c r="AF120" s="590"/>
      <c r="AG120" s="590"/>
      <c r="AH120" s="591"/>
    </row>
    <row r="121" spans="2:34">
      <c r="B121" s="589"/>
      <c r="C121" s="590"/>
      <c r="D121" s="590"/>
      <c r="E121" s="590"/>
      <c r="F121" s="590"/>
      <c r="G121" s="590"/>
      <c r="H121" s="590"/>
      <c r="I121" s="590"/>
      <c r="J121" s="590"/>
      <c r="K121" s="590"/>
      <c r="L121" s="590"/>
      <c r="M121" s="590"/>
      <c r="N121" s="590"/>
      <c r="O121" s="590"/>
      <c r="P121" s="590"/>
      <c r="Q121" s="590"/>
      <c r="R121" s="590"/>
      <c r="S121" s="590"/>
      <c r="T121" s="590"/>
      <c r="U121" s="590"/>
      <c r="V121" s="590"/>
      <c r="W121" s="590"/>
      <c r="X121" s="590"/>
      <c r="Y121" s="590"/>
      <c r="Z121" s="590"/>
      <c r="AA121" s="590"/>
      <c r="AB121" s="590"/>
      <c r="AC121" s="590"/>
      <c r="AD121" s="590"/>
      <c r="AE121" s="590"/>
      <c r="AF121" s="590"/>
      <c r="AG121" s="590"/>
      <c r="AH121" s="591"/>
    </row>
    <row r="122" spans="2:34">
      <c r="B122" s="589"/>
      <c r="C122" s="590"/>
      <c r="D122" s="590"/>
      <c r="E122" s="590"/>
      <c r="F122" s="590"/>
      <c r="G122" s="590"/>
      <c r="H122" s="590"/>
      <c r="I122" s="590"/>
      <c r="J122" s="590"/>
      <c r="K122" s="590"/>
      <c r="L122" s="590"/>
      <c r="M122" s="590"/>
      <c r="N122" s="590"/>
      <c r="O122" s="590"/>
      <c r="P122" s="590"/>
      <c r="Q122" s="590"/>
      <c r="R122" s="590"/>
      <c r="S122" s="590"/>
      <c r="T122" s="590"/>
      <c r="U122" s="590"/>
      <c r="V122" s="590"/>
      <c r="W122" s="590"/>
      <c r="X122" s="590"/>
      <c r="Y122" s="590"/>
      <c r="Z122" s="590"/>
      <c r="AA122" s="590"/>
      <c r="AB122" s="590"/>
      <c r="AC122" s="590"/>
      <c r="AD122" s="590"/>
      <c r="AE122" s="590"/>
      <c r="AF122" s="590"/>
      <c r="AG122" s="590"/>
      <c r="AH122" s="591"/>
    </row>
    <row r="123" spans="2:34">
      <c r="B123" s="589"/>
      <c r="C123" s="590"/>
      <c r="D123" s="590"/>
      <c r="E123" s="590"/>
      <c r="F123" s="590"/>
      <c r="G123" s="590"/>
      <c r="H123" s="590"/>
      <c r="I123" s="590"/>
      <c r="J123" s="590"/>
      <c r="K123" s="590"/>
      <c r="L123" s="590"/>
      <c r="M123" s="590"/>
      <c r="N123" s="590"/>
      <c r="O123" s="590"/>
      <c r="P123" s="590"/>
      <c r="Q123" s="590"/>
      <c r="R123" s="590"/>
      <c r="S123" s="590"/>
      <c r="T123" s="590"/>
      <c r="U123" s="590"/>
      <c r="V123" s="590"/>
      <c r="W123" s="590"/>
      <c r="X123" s="590"/>
      <c r="Y123" s="590"/>
      <c r="Z123" s="590"/>
      <c r="AA123" s="590"/>
      <c r="AB123" s="590"/>
      <c r="AC123" s="590"/>
      <c r="AD123" s="590"/>
      <c r="AE123" s="590"/>
      <c r="AF123" s="590"/>
      <c r="AG123" s="590"/>
      <c r="AH123" s="591"/>
    </row>
    <row r="124" spans="2:34">
      <c r="B124" s="589"/>
      <c r="C124" s="590"/>
      <c r="D124" s="590"/>
      <c r="E124" s="590"/>
      <c r="F124" s="590"/>
      <c r="G124" s="590"/>
      <c r="H124" s="590"/>
      <c r="I124" s="590"/>
      <c r="J124" s="590"/>
      <c r="K124" s="590"/>
      <c r="L124" s="590"/>
      <c r="M124" s="590"/>
      <c r="N124" s="590"/>
      <c r="O124" s="590"/>
      <c r="P124" s="590"/>
      <c r="Q124" s="590"/>
      <c r="R124" s="590"/>
      <c r="S124" s="590"/>
      <c r="T124" s="590"/>
      <c r="U124" s="590"/>
      <c r="V124" s="590"/>
      <c r="W124" s="590"/>
      <c r="X124" s="590"/>
      <c r="Y124" s="590"/>
      <c r="Z124" s="590"/>
      <c r="AA124" s="590"/>
      <c r="AB124" s="590"/>
      <c r="AC124" s="590"/>
      <c r="AD124" s="590"/>
      <c r="AE124" s="590"/>
      <c r="AF124" s="590"/>
      <c r="AG124" s="590"/>
      <c r="AH124" s="591"/>
    </row>
    <row r="125" spans="2:34">
      <c r="B125" s="589"/>
      <c r="C125" s="590"/>
      <c r="D125" s="590"/>
      <c r="E125" s="590"/>
      <c r="F125" s="590"/>
      <c r="G125" s="590"/>
      <c r="H125" s="590"/>
      <c r="I125" s="590"/>
      <c r="J125" s="590"/>
      <c r="K125" s="590"/>
      <c r="L125" s="590"/>
      <c r="M125" s="590"/>
      <c r="N125" s="590"/>
      <c r="O125" s="590"/>
      <c r="P125" s="590"/>
      <c r="Q125" s="590"/>
      <c r="R125" s="590"/>
      <c r="S125" s="590"/>
      <c r="T125" s="590"/>
      <c r="U125" s="590"/>
      <c r="V125" s="590"/>
      <c r="W125" s="590"/>
      <c r="X125" s="590"/>
      <c r="Y125" s="590"/>
      <c r="Z125" s="590"/>
      <c r="AA125" s="590"/>
      <c r="AB125" s="590"/>
      <c r="AC125" s="590"/>
      <c r="AD125" s="590"/>
      <c r="AE125" s="590"/>
      <c r="AF125" s="590"/>
      <c r="AG125" s="590"/>
      <c r="AH125" s="591"/>
    </row>
    <row r="126" spans="2:34">
      <c r="B126" s="589"/>
      <c r="C126" s="590"/>
      <c r="D126" s="590"/>
      <c r="E126" s="590"/>
      <c r="F126" s="590"/>
      <c r="G126" s="590"/>
      <c r="H126" s="590"/>
      <c r="I126" s="590"/>
      <c r="J126" s="590"/>
      <c r="K126" s="590"/>
      <c r="L126" s="590"/>
      <c r="M126" s="590"/>
      <c r="N126" s="590"/>
      <c r="O126" s="590"/>
      <c r="P126" s="590"/>
      <c r="Q126" s="590"/>
      <c r="R126" s="590"/>
      <c r="S126" s="590"/>
      <c r="T126" s="590"/>
      <c r="U126" s="590"/>
      <c r="V126" s="590"/>
      <c r="W126" s="590"/>
      <c r="X126" s="590"/>
      <c r="Y126" s="590"/>
      <c r="Z126" s="590"/>
      <c r="AA126" s="590"/>
      <c r="AB126" s="590"/>
      <c r="AC126" s="590"/>
      <c r="AD126" s="590"/>
      <c r="AE126" s="590"/>
      <c r="AF126" s="590"/>
      <c r="AG126" s="590"/>
      <c r="AH126" s="591"/>
    </row>
    <row r="127" spans="2:34">
      <c r="B127" s="589"/>
      <c r="C127" s="590"/>
      <c r="D127" s="590"/>
      <c r="E127" s="590"/>
      <c r="F127" s="590"/>
      <c r="G127" s="590"/>
      <c r="H127" s="590"/>
      <c r="I127" s="590"/>
      <c r="J127" s="590"/>
      <c r="K127" s="590"/>
      <c r="L127" s="590"/>
      <c r="M127" s="590"/>
      <c r="N127" s="590"/>
      <c r="O127" s="590"/>
      <c r="P127" s="590"/>
      <c r="Q127" s="590"/>
      <c r="R127" s="590"/>
      <c r="S127" s="590"/>
      <c r="T127" s="590"/>
      <c r="U127" s="590"/>
      <c r="V127" s="590"/>
      <c r="W127" s="590"/>
      <c r="X127" s="590"/>
      <c r="Y127" s="590"/>
      <c r="Z127" s="590"/>
      <c r="AA127" s="590"/>
      <c r="AB127" s="590"/>
      <c r="AC127" s="590"/>
      <c r="AD127" s="590"/>
      <c r="AE127" s="590"/>
      <c r="AF127" s="590"/>
      <c r="AG127" s="590"/>
      <c r="AH127" s="591"/>
    </row>
    <row r="128" spans="2:34">
      <c r="B128" s="592"/>
      <c r="C128" s="593"/>
      <c r="D128" s="593"/>
      <c r="E128" s="593"/>
      <c r="F128" s="593"/>
      <c r="G128" s="593"/>
      <c r="H128" s="593"/>
      <c r="I128" s="593"/>
      <c r="J128" s="593"/>
      <c r="K128" s="593"/>
      <c r="L128" s="593"/>
      <c r="M128" s="593"/>
      <c r="N128" s="593"/>
      <c r="O128" s="593"/>
      <c r="P128" s="593"/>
      <c r="Q128" s="593"/>
      <c r="R128" s="593"/>
      <c r="S128" s="593"/>
      <c r="T128" s="593"/>
      <c r="U128" s="593"/>
      <c r="V128" s="593"/>
      <c r="W128" s="593"/>
      <c r="X128" s="593"/>
      <c r="Y128" s="593"/>
      <c r="Z128" s="593"/>
      <c r="AA128" s="593"/>
      <c r="AB128" s="593"/>
      <c r="AC128" s="593"/>
      <c r="AD128" s="593"/>
      <c r="AE128" s="593"/>
      <c r="AF128" s="593"/>
      <c r="AG128" s="593"/>
      <c r="AH128" s="594"/>
    </row>
  </sheetData>
  <sheetProtection algorithmName="SHA-512" hashValue="0wV1wSHCsNxLpyS0fp/Xoyb7G5QEs79vWY9YlzeWHdwrzoLaISGON4QqCTf+vbqg3sRrLkx9/QU/YuJWrfV5qQ==" saltValue="R6E5HGo4+Dr3U43FtZ9N+A==" spinCount="100000" sheet="1" objects="1" scenarios="1"/>
  <mergeCells count="54">
    <mergeCell ref="Q7:R7"/>
    <mergeCell ref="B19:AH19"/>
    <mergeCell ref="B73:AH73"/>
    <mergeCell ref="B120:AH120"/>
    <mergeCell ref="B109:AH109"/>
    <mergeCell ref="B110:AH110"/>
    <mergeCell ref="B111:AH111"/>
    <mergeCell ref="B112:AH112"/>
    <mergeCell ref="B113:AH113"/>
    <mergeCell ref="B114:AH114"/>
    <mergeCell ref="B115:AH115"/>
    <mergeCell ref="B116:AH116"/>
    <mergeCell ref="B117:AH117"/>
    <mergeCell ref="B118:AH118"/>
    <mergeCell ref="B119:AH119"/>
    <mergeCell ref="D76:E76"/>
    <mergeCell ref="B127:AH127"/>
    <mergeCell ref="B128:AH128"/>
    <mergeCell ref="B121:AH121"/>
    <mergeCell ref="B122:AH122"/>
    <mergeCell ref="B123:AH123"/>
    <mergeCell ref="B124:AH124"/>
    <mergeCell ref="B125:AH125"/>
    <mergeCell ref="B126:AH126"/>
    <mergeCell ref="D78:E78"/>
    <mergeCell ref="D79:E79"/>
    <mergeCell ref="D80:E80"/>
    <mergeCell ref="D81:E81"/>
    <mergeCell ref="D82:E82"/>
    <mergeCell ref="D89:E89"/>
    <mergeCell ref="D90:E90"/>
    <mergeCell ref="D91:E91"/>
    <mergeCell ref="D92:E92"/>
    <mergeCell ref="D83:E83"/>
    <mergeCell ref="D84:E84"/>
    <mergeCell ref="D85:E85"/>
    <mergeCell ref="D86:E86"/>
    <mergeCell ref="D87:E87"/>
    <mergeCell ref="D103:E103"/>
    <mergeCell ref="D104:E104"/>
    <mergeCell ref="D105:E105"/>
    <mergeCell ref="D106:E106"/>
    <mergeCell ref="D77:E77"/>
    <mergeCell ref="D98:E98"/>
    <mergeCell ref="D99:E99"/>
    <mergeCell ref="D100:E100"/>
    <mergeCell ref="D101:E101"/>
    <mergeCell ref="D102:E102"/>
    <mergeCell ref="D93:E93"/>
    <mergeCell ref="D94:E94"/>
    <mergeCell ref="D95:E95"/>
    <mergeCell ref="D96:E96"/>
    <mergeCell ref="D97:E97"/>
    <mergeCell ref="D88:E88"/>
  </mergeCells>
  <phoneticPr fontId="22" type="noConversion"/>
  <pageMargins left="0.7" right="0.7" top="0.75" bottom="0.75" header="0.3" footer="0.3"/>
  <ignoredErrors>
    <ignoredError sqref="I72" 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4ABE8F37-2E15-4DC9-9B32-8CF859BBB1FA}">
          <x14:formula1>
            <xm:f>Lijsten!$D$19:$D$69</xm:f>
          </x14:formula1>
          <xm:sqref>B22:B71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B1316-ADC8-1E49-921E-0DF85093B923}">
  <dimension ref="B2:AZ37"/>
  <sheetViews>
    <sheetView workbookViewId="0">
      <selection activeCell="C3" sqref="C3"/>
    </sheetView>
  </sheetViews>
  <sheetFormatPr defaultColWidth="11" defaultRowHeight="12"/>
  <cols>
    <col min="2" max="2" width="11.125" bestFit="1" customWidth="1"/>
  </cols>
  <sheetData>
    <row r="2" spans="2:52">
      <c r="B2" t="s">
        <v>326</v>
      </c>
      <c r="C2">
        <v>1</v>
      </c>
      <c r="D2">
        <v>2</v>
      </c>
      <c r="E2">
        <v>3</v>
      </c>
      <c r="F2">
        <v>4</v>
      </c>
      <c r="G2">
        <v>5</v>
      </c>
      <c r="H2">
        <v>6</v>
      </c>
      <c r="I2">
        <v>7</v>
      </c>
      <c r="J2">
        <v>8</v>
      </c>
      <c r="K2">
        <v>9</v>
      </c>
      <c r="L2">
        <v>10</v>
      </c>
      <c r="M2">
        <v>11</v>
      </c>
      <c r="N2">
        <v>12</v>
      </c>
      <c r="O2">
        <v>13</v>
      </c>
      <c r="P2">
        <v>14</v>
      </c>
      <c r="Q2">
        <v>15</v>
      </c>
      <c r="R2">
        <v>16</v>
      </c>
      <c r="S2">
        <v>17</v>
      </c>
      <c r="T2">
        <v>18</v>
      </c>
      <c r="U2">
        <v>19</v>
      </c>
      <c r="V2">
        <v>20</v>
      </c>
      <c r="W2">
        <v>21</v>
      </c>
      <c r="X2">
        <v>22</v>
      </c>
      <c r="Y2">
        <v>23</v>
      </c>
      <c r="Z2">
        <v>24</v>
      </c>
      <c r="AA2">
        <v>25</v>
      </c>
      <c r="AB2">
        <v>26</v>
      </c>
      <c r="AC2">
        <v>27</v>
      </c>
      <c r="AD2">
        <v>28</v>
      </c>
      <c r="AE2">
        <v>29</v>
      </c>
      <c r="AF2">
        <v>30</v>
      </c>
      <c r="AG2">
        <v>31</v>
      </c>
      <c r="AH2">
        <v>32</v>
      </c>
      <c r="AI2">
        <v>33</v>
      </c>
      <c r="AJ2">
        <v>34</v>
      </c>
      <c r="AK2">
        <v>35</v>
      </c>
      <c r="AL2">
        <v>36</v>
      </c>
      <c r="AM2">
        <v>37</v>
      </c>
      <c r="AN2">
        <v>38</v>
      </c>
      <c r="AO2">
        <v>39</v>
      </c>
      <c r="AP2">
        <v>40</v>
      </c>
      <c r="AQ2">
        <v>41</v>
      </c>
      <c r="AR2">
        <v>42</v>
      </c>
      <c r="AS2">
        <v>43</v>
      </c>
      <c r="AT2">
        <v>44</v>
      </c>
      <c r="AU2">
        <v>45</v>
      </c>
      <c r="AV2">
        <v>46</v>
      </c>
      <c r="AW2">
        <v>47</v>
      </c>
      <c r="AX2">
        <v>48</v>
      </c>
      <c r="AY2">
        <v>49</v>
      </c>
      <c r="AZ2">
        <v>50</v>
      </c>
    </row>
    <row r="3" spans="2:52">
      <c r="B3" s="136">
        <v>45748</v>
      </c>
      <c r="C3" s="367"/>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9"/>
    </row>
    <row r="4" spans="2:52">
      <c r="B4" s="136">
        <v>45839</v>
      </c>
      <c r="C4" s="370"/>
      <c r="AZ4" s="371"/>
    </row>
    <row r="5" spans="2:52">
      <c r="B5" s="136">
        <v>45931</v>
      </c>
      <c r="C5" s="370"/>
      <c r="AZ5" s="371"/>
    </row>
    <row r="6" spans="2:52">
      <c r="B6" s="136">
        <v>46023</v>
      </c>
      <c r="C6" s="370"/>
      <c r="AZ6" s="371"/>
    </row>
    <row r="7" spans="2:52">
      <c r="B7" s="136">
        <v>46113</v>
      </c>
      <c r="C7" s="370"/>
      <c r="AZ7" s="371"/>
    </row>
    <row r="8" spans="2:52">
      <c r="B8" s="136">
        <v>46204</v>
      </c>
      <c r="C8" s="370"/>
      <c r="AZ8" s="371"/>
    </row>
    <row r="9" spans="2:52">
      <c r="B9" s="136">
        <v>46296</v>
      </c>
      <c r="C9" s="370"/>
      <c r="AZ9" s="371"/>
    </row>
    <row r="10" spans="2:52">
      <c r="B10" s="136">
        <v>46388</v>
      </c>
      <c r="C10" s="370"/>
      <c r="AZ10" s="371"/>
    </row>
    <row r="11" spans="2:52">
      <c r="B11" s="136">
        <v>46478</v>
      </c>
      <c r="C11" s="370"/>
      <c r="AZ11" s="371"/>
    </row>
    <row r="12" spans="2:52">
      <c r="B12" s="136">
        <v>46569</v>
      </c>
      <c r="C12" s="370"/>
      <c r="AZ12" s="371"/>
    </row>
    <row r="13" spans="2:52">
      <c r="B13" s="136">
        <v>46661</v>
      </c>
      <c r="C13" s="370"/>
      <c r="AZ13" s="371"/>
    </row>
    <row r="14" spans="2:52">
      <c r="B14" s="136">
        <v>46753</v>
      </c>
      <c r="C14" s="370"/>
      <c r="AZ14" s="371"/>
    </row>
    <row r="15" spans="2:52">
      <c r="B15" s="136">
        <v>46844</v>
      </c>
      <c r="C15" s="370"/>
      <c r="AZ15" s="371"/>
    </row>
    <row r="16" spans="2:52">
      <c r="B16" s="136">
        <v>46935</v>
      </c>
      <c r="C16" s="370"/>
      <c r="AZ16" s="371"/>
    </row>
    <row r="17" spans="2:52">
      <c r="B17" s="136">
        <v>47027</v>
      </c>
      <c r="C17" s="370"/>
      <c r="AZ17" s="371"/>
    </row>
    <row r="18" spans="2:52">
      <c r="B18" s="136">
        <v>47119</v>
      </c>
      <c r="C18" s="370"/>
      <c r="AZ18" s="371"/>
    </row>
    <row r="19" spans="2:52">
      <c r="B19" s="136">
        <v>47209</v>
      </c>
      <c r="C19" s="370"/>
      <c r="AZ19" s="371"/>
    </row>
    <row r="20" spans="2:52">
      <c r="B20" s="136">
        <v>47300</v>
      </c>
      <c r="C20" s="370"/>
      <c r="AZ20" s="371"/>
    </row>
    <row r="21" spans="2:52">
      <c r="B21" s="136">
        <v>47392</v>
      </c>
      <c r="C21" s="370"/>
      <c r="AZ21" s="371"/>
    </row>
    <row r="22" spans="2:52">
      <c r="B22" s="136">
        <v>47484</v>
      </c>
      <c r="C22" s="370"/>
      <c r="AZ22" s="371"/>
    </row>
    <row r="23" spans="2:52">
      <c r="B23" s="136">
        <v>47574</v>
      </c>
      <c r="C23" s="370"/>
      <c r="AZ23" s="371"/>
    </row>
    <row r="24" spans="2:52">
      <c r="B24" s="136">
        <v>47665</v>
      </c>
      <c r="C24" s="370"/>
      <c r="AZ24" s="371"/>
    </row>
    <row r="25" spans="2:52">
      <c r="B25" s="136">
        <v>47757</v>
      </c>
      <c r="C25" s="370"/>
      <c r="AZ25" s="371"/>
    </row>
    <row r="26" spans="2:52">
      <c r="B26" s="136">
        <v>47849</v>
      </c>
      <c r="C26" s="370"/>
      <c r="AZ26" s="371"/>
    </row>
    <row r="27" spans="2:52">
      <c r="B27" s="136">
        <v>47939</v>
      </c>
      <c r="C27" s="370"/>
      <c r="AZ27" s="371"/>
    </row>
    <row r="28" spans="2:52">
      <c r="B28" s="136">
        <v>48030</v>
      </c>
      <c r="C28" s="370"/>
      <c r="AZ28" s="371"/>
    </row>
    <row r="29" spans="2:52">
      <c r="B29" s="136">
        <v>48122</v>
      </c>
      <c r="C29" s="370"/>
      <c r="AZ29" s="371"/>
    </row>
    <row r="30" spans="2:52">
      <c r="B30" s="136">
        <v>48214</v>
      </c>
      <c r="C30" s="370"/>
      <c r="AZ30" s="371"/>
    </row>
    <row r="31" spans="2:52">
      <c r="B31" s="136">
        <v>48305</v>
      </c>
      <c r="C31" s="370"/>
      <c r="AZ31" s="371"/>
    </row>
    <row r="32" spans="2:52">
      <c r="B32" s="136">
        <v>48396</v>
      </c>
      <c r="C32" s="370"/>
      <c r="AZ32" s="371"/>
    </row>
    <row r="33" spans="2:52">
      <c r="B33" s="136">
        <v>48488</v>
      </c>
      <c r="C33" s="370"/>
      <c r="AZ33" s="371"/>
    </row>
    <row r="34" spans="2:52">
      <c r="B34" s="136">
        <v>48580</v>
      </c>
      <c r="C34" s="370"/>
      <c r="AZ34" s="371"/>
    </row>
    <row r="35" spans="2:52">
      <c r="B35" s="136">
        <v>48670</v>
      </c>
      <c r="C35" s="370"/>
      <c r="AZ35" s="371"/>
    </row>
    <row r="36" spans="2:52">
      <c r="B36" s="136">
        <v>48761</v>
      </c>
      <c r="C36" s="370"/>
      <c r="AZ36" s="371"/>
    </row>
    <row r="37" spans="2:52">
      <c r="B37" s="136">
        <v>48853</v>
      </c>
      <c r="C37" s="372"/>
      <c r="D37" s="373"/>
      <c r="E37" s="373"/>
      <c r="F37" s="373"/>
      <c r="G37" s="373"/>
      <c r="H37" s="373"/>
      <c r="I37" s="373"/>
      <c r="J37" s="373"/>
      <c r="K37" s="373"/>
      <c r="L37" s="373"/>
      <c r="M37" s="373"/>
      <c r="N37" s="373"/>
      <c r="O37" s="373"/>
      <c r="P37" s="373"/>
      <c r="Q37" s="373"/>
      <c r="R37" s="373"/>
      <c r="S37" s="373"/>
      <c r="T37" s="373"/>
      <c r="U37" s="373"/>
      <c r="V37" s="373"/>
      <c r="W37" s="373"/>
      <c r="X37" s="373"/>
      <c r="Y37" s="373"/>
      <c r="Z37" s="373"/>
      <c r="AA37" s="373"/>
      <c r="AB37" s="373"/>
      <c r="AC37" s="373"/>
      <c r="AD37" s="373"/>
      <c r="AE37" s="373"/>
      <c r="AF37" s="373"/>
      <c r="AG37" s="373"/>
      <c r="AH37" s="373"/>
      <c r="AI37" s="373"/>
      <c r="AJ37" s="373"/>
      <c r="AK37" s="373"/>
      <c r="AL37" s="373"/>
      <c r="AM37" s="373"/>
      <c r="AN37" s="373"/>
      <c r="AO37" s="373"/>
      <c r="AP37" s="373"/>
      <c r="AQ37" s="373"/>
      <c r="AR37" s="373"/>
      <c r="AS37" s="373"/>
      <c r="AT37" s="373"/>
      <c r="AU37" s="373"/>
      <c r="AV37" s="373"/>
      <c r="AW37" s="373"/>
      <c r="AX37" s="373"/>
      <c r="AY37" s="373"/>
      <c r="AZ37" s="374"/>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7E900-28BF-4C8C-93F2-B1B6D8B59B7D}">
  <sheetPr>
    <tabColor rgb="FFFFFF00"/>
  </sheetPr>
  <dimension ref="B1:K89"/>
  <sheetViews>
    <sheetView showGridLines="0" topLeftCell="A14" zoomScale="110" zoomScaleNormal="110" workbookViewId="0">
      <selection activeCell="H42" sqref="H42"/>
    </sheetView>
  </sheetViews>
  <sheetFormatPr defaultColWidth="8.875" defaultRowHeight="12"/>
  <cols>
    <col min="2" max="2" width="27.625" customWidth="1"/>
    <col min="3" max="7" width="11.125" customWidth="1"/>
    <col min="8" max="8" width="10.875" bestFit="1" customWidth="1"/>
  </cols>
  <sheetData>
    <row r="1" spans="2:11" ht="18">
      <c r="B1" s="254" t="s">
        <v>327</v>
      </c>
      <c r="C1" s="253"/>
      <c r="D1" s="253"/>
      <c r="E1" s="253"/>
      <c r="F1" s="253"/>
      <c r="G1" s="253"/>
      <c r="H1" s="253"/>
      <c r="I1" s="253"/>
      <c r="J1" s="253"/>
    </row>
    <row r="2" spans="2:11" ht="12.75">
      <c r="B2" s="255" t="s">
        <v>184</v>
      </c>
      <c r="C2" s="253">
        <f>'Total budget'!D5</f>
        <v>0</v>
      </c>
      <c r="D2" s="253"/>
      <c r="E2" s="253"/>
      <c r="F2" s="253"/>
      <c r="G2" s="253"/>
      <c r="H2" s="253"/>
      <c r="I2" s="253"/>
      <c r="J2" s="253"/>
    </row>
    <row r="3" spans="2:11" ht="12.75">
      <c r="B3" s="255" t="s">
        <v>328</v>
      </c>
      <c r="C3" s="253">
        <f>'Prototype development'!projecttitel</f>
        <v>0</v>
      </c>
      <c r="D3" s="253"/>
      <c r="E3" s="253"/>
      <c r="F3" s="253"/>
      <c r="G3" s="253"/>
      <c r="H3" s="253"/>
      <c r="I3" s="253"/>
      <c r="J3" s="253"/>
    </row>
    <row r="4" spans="2:11">
      <c r="B4" s="468"/>
      <c r="C4" s="396"/>
      <c r="D4" s="396"/>
      <c r="E4" s="396"/>
      <c r="F4" s="396"/>
      <c r="G4" s="396"/>
      <c r="H4" s="396"/>
      <c r="I4" s="396"/>
      <c r="J4" s="396"/>
      <c r="K4" s="396"/>
    </row>
    <row r="5" spans="2:11">
      <c r="B5" s="396"/>
      <c r="C5" s="396"/>
      <c r="D5" s="396"/>
      <c r="E5" s="396"/>
      <c r="F5" s="396"/>
      <c r="G5" s="396"/>
      <c r="H5" s="396"/>
      <c r="I5" s="396"/>
      <c r="J5" s="396"/>
      <c r="K5" s="396"/>
    </row>
    <row r="6" spans="2:11" ht="25.5" customHeight="1">
      <c r="B6" s="396"/>
      <c r="C6" s="396"/>
      <c r="D6" s="396"/>
      <c r="E6" s="396"/>
      <c r="F6" s="396"/>
      <c r="G6" s="396"/>
      <c r="H6" s="396"/>
      <c r="I6" s="396"/>
      <c r="J6" s="396"/>
      <c r="K6" s="396"/>
    </row>
    <row r="7" spans="2:11">
      <c r="B7" s="396"/>
      <c r="C7" s="396"/>
      <c r="D7" s="396"/>
      <c r="E7" s="396"/>
      <c r="F7" s="396"/>
      <c r="G7" s="396"/>
      <c r="H7" s="396"/>
      <c r="I7" s="396"/>
      <c r="J7" s="396"/>
      <c r="K7" s="396"/>
    </row>
    <row r="8" spans="2:11">
      <c r="B8" s="396"/>
      <c r="C8" s="396"/>
      <c r="D8" s="396"/>
      <c r="E8" s="396"/>
      <c r="F8" s="396"/>
      <c r="G8" s="396"/>
      <c r="H8" s="396"/>
      <c r="I8" s="396"/>
      <c r="J8" s="396"/>
      <c r="K8" s="396"/>
    </row>
    <row r="9" spans="2:11">
      <c r="B9" s="396"/>
      <c r="C9" s="396"/>
      <c r="D9" s="396"/>
      <c r="E9" s="396"/>
      <c r="F9" s="396"/>
      <c r="G9" s="396"/>
      <c r="H9" s="396"/>
      <c r="I9" s="396"/>
      <c r="J9" s="396"/>
      <c r="K9" s="396"/>
    </row>
    <row r="10" spans="2:11">
      <c r="B10" s="396"/>
      <c r="C10" s="396"/>
      <c r="D10" s="396"/>
      <c r="E10" s="396"/>
      <c r="F10" s="396"/>
      <c r="G10" s="396"/>
      <c r="H10" s="396"/>
      <c r="I10" s="396"/>
      <c r="J10" s="396"/>
      <c r="K10" s="396"/>
    </row>
    <row r="11" spans="2:11">
      <c r="B11" s="396"/>
      <c r="C11" s="396"/>
      <c r="D11" s="396"/>
      <c r="E11" s="396"/>
      <c r="F11" s="396"/>
      <c r="G11" s="396"/>
      <c r="H11" s="396"/>
      <c r="I11" s="396"/>
      <c r="J11" s="396"/>
      <c r="K11" s="396"/>
    </row>
    <row r="12" spans="2:11">
      <c r="B12" s="396"/>
      <c r="C12" s="396"/>
      <c r="D12" s="396"/>
      <c r="E12" s="396"/>
      <c r="F12" s="396"/>
      <c r="G12" s="396"/>
      <c r="H12" s="396"/>
      <c r="I12" s="396"/>
      <c r="J12" s="396"/>
      <c r="K12" s="396"/>
    </row>
    <row r="13" spans="2:11">
      <c r="B13" s="396"/>
      <c r="C13" s="396"/>
      <c r="D13" s="396"/>
      <c r="E13" s="396"/>
      <c r="F13" s="396"/>
      <c r="G13" s="396"/>
      <c r="H13" s="396"/>
      <c r="I13" s="396"/>
      <c r="J13" s="396"/>
      <c r="K13" s="396"/>
    </row>
    <row r="14" spans="2:11">
      <c r="B14" s="396"/>
      <c r="C14" s="396"/>
      <c r="D14" s="396"/>
      <c r="E14" s="396"/>
      <c r="F14" s="396"/>
      <c r="G14" s="396"/>
      <c r="H14" s="396"/>
      <c r="I14" s="396"/>
      <c r="J14" s="396"/>
      <c r="K14" s="396"/>
    </row>
    <row r="15" spans="2:11" ht="6.75" customHeight="1">
      <c r="B15" s="396"/>
      <c r="C15" s="396"/>
      <c r="D15" s="396"/>
      <c r="E15" s="396"/>
      <c r="F15" s="396"/>
      <c r="G15" s="396"/>
      <c r="H15" s="396"/>
      <c r="I15" s="396"/>
      <c r="J15" s="396"/>
      <c r="K15" s="396"/>
    </row>
    <row r="16" spans="2:11" hidden="1">
      <c r="B16" s="396"/>
      <c r="C16" s="396"/>
      <c r="D16" s="396"/>
      <c r="E16" s="396"/>
      <c r="F16" s="396"/>
      <c r="G16" s="396"/>
      <c r="H16" s="396"/>
      <c r="I16" s="396"/>
      <c r="J16" s="396"/>
      <c r="K16" s="396"/>
    </row>
    <row r="17" spans="2:11" hidden="1">
      <c r="B17" s="396"/>
      <c r="C17" s="396"/>
      <c r="D17" s="396"/>
      <c r="E17" s="396"/>
      <c r="F17" s="396"/>
      <c r="G17" s="396"/>
      <c r="H17" s="396"/>
      <c r="I17" s="396"/>
      <c r="J17" s="396"/>
      <c r="K17" s="396"/>
    </row>
    <row r="18" spans="2:11" hidden="1">
      <c r="B18" s="396"/>
      <c r="C18" s="396"/>
      <c r="D18" s="396"/>
      <c r="E18" s="396"/>
      <c r="F18" s="396"/>
      <c r="G18" s="396"/>
      <c r="H18" s="396"/>
      <c r="I18" s="396"/>
      <c r="J18" s="396"/>
      <c r="K18" s="396"/>
    </row>
    <row r="19" spans="2:11">
      <c r="B19" s="396"/>
      <c r="C19" s="396"/>
      <c r="D19" s="396"/>
      <c r="E19" s="396"/>
      <c r="F19" s="396"/>
      <c r="G19" s="396"/>
      <c r="H19" s="396"/>
      <c r="I19" s="396"/>
      <c r="J19" s="396"/>
      <c r="K19" s="396"/>
    </row>
    <row r="20" spans="2:11">
      <c r="B20" s="396"/>
      <c r="C20" s="396"/>
      <c r="D20" s="396"/>
      <c r="E20" s="396"/>
      <c r="F20" s="396"/>
      <c r="G20" s="396"/>
      <c r="H20" s="396"/>
      <c r="I20" s="396"/>
      <c r="J20" s="396"/>
      <c r="K20" s="396"/>
    </row>
    <row r="21" spans="2:11">
      <c r="B21" s="396"/>
      <c r="C21" s="396"/>
      <c r="D21" s="396"/>
      <c r="E21" s="396"/>
      <c r="F21" s="396"/>
      <c r="G21" s="396"/>
      <c r="H21" s="396"/>
      <c r="I21" s="396"/>
      <c r="J21" s="396"/>
      <c r="K21" s="396"/>
    </row>
    <row r="23" spans="2:11" ht="37.5" customHeight="1">
      <c r="B23" s="320" t="s">
        <v>329</v>
      </c>
      <c r="C23" s="257" t="s">
        <v>330</v>
      </c>
      <c r="D23" s="257" t="s">
        <v>331</v>
      </c>
      <c r="E23" s="257" t="s">
        <v>332</v>
      </c>
      <c r="F23" s="257" t="s">
        <v>333</v>
      </c>
      <c r="G23" s="257" t="s">
        <v>334</v>
      </c>
      <c r="H23" s="257" t="s">
        <v>335</v>
      </c>
    </row>
    <row r="24" spans="2:11" ht="14.1" customHeight="1">
      <c r="B24" s="256"/>
      <c r="C24" s="319">
        <f>E51</f>
        <v>0.1</v>
      </c>
      <c r="D24" s="319">
        <f>E56</f>
        <v>0.2</v>
      </c>
      <c r="E24" s="319">
        <f>E61</f>
        <v>0.3</v>
      </c>
      <c r="F24" s="319">
        <f>E66</f>
        <v>0.2</v>
      </c>
      <c r="G24" s="319">
        <f>E71</f>
        <v>0.15</v>
      </c>
      <c r="H24" s="319">
        <v>0.95</v>
      </c>
    </row>
    <row r="25" spans="2:11" hidden="1">
      <c r="B25" s="258" t="str">
        <f>penvoerder_naam</f>
        <v>Lokomotiv Moskou</v>
      </c>
      <c r="C25" s="259"/>
      <c r="D25" s="259"/>
      <c r="E25" s="259"/>
      <c r="F25" s="259"/>
      <c r="G25" s="259"/>
      <c r="H25" s="318">
        <f t="shared" ref="H25:H40" si="0">SUM(C25:G25)</f>
        <v>0</v>
      </c>
    </row>
    <row r="26" spans="2:11" hidden="1">
      <c r="B26" s="258">
        <f>'A2'!C2</f>
        <v>0</v>
      </c>
      <c r="C26" s="259"/>
      <c r="D26" s="260"/>
      <c r="E26" s="260"/>
      <c r="F26" s="260"/>
      <c r="G26" s="260"/>
      <c r="H26" s="318">
        <f t="shared" si="0"/>
        <v>0</v>
      </c>
    </row>
    <row r="27" spans="2:11" hidden="1">
      <c r="B27" s="258">
        <f>'A3'!C2</f>
        <v>0</v>
      </c>
      <c r="C27" s="259"/>
      <c r="D27" s="260"/>
      <c r="E27" s="260"/>
      <c r="F27" s="260"/>
      <c r="G27" s="260"/>
      <c r="H27" s="318">
        <f t="shared" si="0"/>
        <v>0</v>
      </c>
    </row>
    <row r="28" spans="2:11" hidden="1">
      <c r="B28" s="258">
        <f>'A4'!C2</f>
        <v>0</v>
      </c>
      <c r="C28" s="259"/>
      <c r="D28" s="260"/>
      <c r="E28" s="260"/>
      <c r="F28" s="260"/>
      <c r="G28" s="260"/>
      <c r="H28" s="318">
        <f t="shared" si="0"/>
        <v>0</v>
      </c>
    </row>
    <row r="29" spans="2:11" hidden="1">
      <c r="B29" s="258">
        <f>'A5'!C2</f>
        <v>0</v>
      </c>
      <c r="C29" s="259"/>
      <c r="D29" s="260"/>
      <c r="E29" s="260"/>
      <c r="F29" s="260"/>
      <c r="G29" s="260"/>
      <c r="H29" s="318">
        <f t="shared" si="0"/>
        <v>0</v>
      </c>
    </row>
    <row r="30" spans="2:11" hidden="1">
      <c r="B30" s="258"/>
      <c r="C30" s="259"/>
      <c r="D30" s="260"/>
      <c r="E30" s="260"/>
      <c r="F30" s="260"/>
      <c r="G30" s="260"/>
      <c r="H30" s="318">
        <f t="shared" si="0"/>
        <v>0</v>
      </c>
    </row>
    <row r="31" spans="2:11" hidden="1">
      <c r="B31" s="258"/>
      <c r="C31" s="259"/>
      <c r="D31" s="260"/>
      <c r="E31" s="260"/>
      <c r="F31" s="260"/>
      <c r="G31" s="260"/>
      <c r="H31" s="318">
        <f t="shared" si="0"/>
        <v>0</v>
      </c>
    </row>
    <row r="32" spans="2:11" hidden="1">
      <c r="B32" s="258"/>
      <c r="C32" s="259"/>
      <c r="D32" s="260"/>
      <c r="E32" s="260"/>
      <c r="F32" s="260"/>
      <c r="G32" s="260"/>
      <c r="H32" s="318">
        <f t="shared" si="0"/>
        <v>0</v>
      </c>
    </row>
    <row r="33" spans="2:8" hidden="1">
      <c r="B33" s="258"/>
      <c r="C33" s="259"/>
      <c r="D33" s="260"/>
      <c r="E33" s="260"/>
      <c r="F33" s="260"/>
      <c r="G33" s="260"/>
      <c r="H33" s="318">
        <f t="shared" si="0"/>
        <v>0</v>
      </c>
    </row>
    <row r="34" spans="2:8" ht="12.75" hidden="1" customHeight="1">
      <c r="B34" s="258"/>
      <c r="C34" s="259"/>
      <c r="D34" s="260"/>
      <c r="E34" s="260"/>
      <c r="F34" s="260"/>
      <c r="G34" s="260"/>
      <c r="H34" s="318">
        <f t="shared" si="0"/>
        <v>0</v>
      </c>
    </row>
    <row r="35" spans="2:8" hidden="1">
      <c r="B35" s="258"/>
      <c r="C35" s="259"/>
      <c r="D35" s="260"/>
      <c r="E35" s="260"/>
      <c r="F35" s="260"/>
      <c r="G35" s="260"/>
      <c r="H35" s="318">
        <f t="shared" si="0"/>
        <v>0</v>
      </c>
    </row>
    <row r="36" spans="2:8" hidden="1">
      <c r="B36" s="258"/>
      <c r="C36" s="259"/>
      <c r="D36" s="260"/>
      <c r="E36" s="260"/>
      <c r="F36" s="260"/>
      <c r="G36" s="260"/>
      <c r="H36" s="318">
        <f t="shared" si="0"/>
        <v>0</v>
      </c>
    </row>
    <row r="37" spans="2:8" hidden="1">
      <c r="B37" s="258"/>
      <c r="C37" s="259"/>
      <c r="D37" s="260"/>
      <c r="E37" s="260"/>
      <c r="F37" s="260"/>
      <c r="G37" s="260"/>
      <c r="H37" s="318">
        <f t="shared" si="0"/>
        <v>0</v>
      </c>
    </row>
    <row r="38" spans="2:8" hidden="1">
      <c r="B38" s="258"/>
      <c r="C38" s="259"/>
      <c r="D38" s="260"/>
      <c r="E38" s="260"/>
      <c r="F38" s="260"/>
      <c r="G38" s="260"/>
      <c r="H38" s="318">
        <f t="shared" si="0"/>
        <v>0</v>
      </c>
    </row>
    <row r="39" spans="2:8" hidden="1">
      <c r="B39" s="258"/>
      <c r="C39" s="259"/>
      <c r="D39" s="260"/>
      <c r="E39" s="260"/>
      <c r="F39" s="260"/>
      <c r="G39" s="260"/>
      <c r="H39" s="318">
        <f t="shared" si="0"/>
        <v>0</v>
      </c>
    </row>
    <row r="40" spans="2:8" hidden="1">
      <c r="B40" s="258"/>
      <c r="C40" s="259"/>
      <c r="D40" s="260"/>
      <c r="E40" s="260"/>
      <c r="F40" s="260"/>
      <c r="G40" s="260"/>
      <c r="H40" s="318">
        <f t="shared" si="0"/>
        <v>0</v>
      </c>
    </row>
    <row r="41" spans="2:8" hidden="1">
      <c r="B41" s="261" t="s">
        <v>336</v>
      </c>
      <c r="C41" s="262">
        <f>SUM(C25:C40)</f>
        <v>0</v>
      </c>
      <c r="D41" s="262">
        <f t="shared" ref="D41:H41" si="1">SUM(D25:D40)</f>
        <v>0</v>
      </c>
      <c r="E41" s="262">
        <f t="shared" si="1"/>
        <v>0</v>
      </c>
      <c r="F41" s="262">
        <f t="shared" si="1"/>
        <v>0</v>
      </c>
      <c r="G41" s="262">
        <f t="shared" si="1"/>
        <v>0</v>
      </c>
      <c r="H41" s="262">
        <f t="shared" si="1"/>
        <v>0</v>
      </c>
    </row>
    <row r="42" spans="2:8">
      <c r="B42" s="261" t="s">
        <v>337</v>
      </c>
      <c r="C42" s="469">
        <f>'Prototype development'!D4</f>
        <v>0</v>
      </c>
      <c r="D42" s="447"/>
      <c r="E42" s="447"/>
      <c r="F42" s="447"/>
      <c r="G42" s="447"/>
      <c r="H42" s="451"/>
    </row>
    <row r="43" spans="2:8" hidden="1">
      <c r="B43" s="263" t="s">
        <v>338</v>
      </c>
      <c r="C43" s="427">
        <f>MONTH(C42)</f>
        <v>1</v>
      </c>
      <c r="D43" s="427">
        <f>MONTH(D42)</f>
        <v>1</v>
      </c>
      <c r="E43" s="427">
        <f>MONTH(E42)</f>
        <v>1</v>
      </c>
      <c r="F43" s="427">
        <f>MONTH(F42)</f>
        <v>1</v>
      </c>
      <c r="G43" s="427">
        <f>MONTH(G42)</f>
        <v>1</v>
      </c>
      <c r="H43" s="264"/>
    </row>
    <row r="44" spans="2:8" hidden="1">
      <c r="B44" s="263" t="s">
        <v>339</v>
      </c>
      <c r="C44" s="448">
        <f>CEILING(MONTH(C42)/3,1)</f>
        <v>1</v>
      </c>
      <c r="D44" s="448">
        <f>CEILING(MONTH(D42)/3,1)</f>
        <v>1</v>
      </c>
      <c r="E44" s="448">
        <f>CEILING(MONTH(E42)/3,1)</f>
        <v>1</v>
      </c>
      <c r="F44" s="448">
        <f>CEILING(MONTH(F42)/3,1)</f>
        <v>1</v>
      </c>
      <c r="G44" s="448">
        <f>CEILING(MONTH(G42)/3,1)</f>
        <v>1</v>
      </c>
      <c r="H44" s="449"/>
    </row>
    <row r="45" spans="2:8">
      <c r="B45" s="263" t="s">
        <v>320</v>
      </c>
      <c r="C45" s="448">
        <f>YEAR(C42)</f>
        <v>1900</v>
      </c>
      <c r="D45" s="448">
        <f>YEAR(D42)</f>
        <v>1900</v>
      </c>
      <c r="E45" s="448">
        <f>YEAR(E42)</f>
        <v>1900</v>
      </c>
      <c r="F45" s="448">
        <f>YEAR(F42)</f>
        <v>1900</v>
      </c>
      <c r="G45" s="448">
        <f>YEAR(G42)</f>
        <v>1900</v>
      </c>
      <c r="H45" s="449"/>
    </row>
    <row r="46" spans="2:8">
      <c r="B46" s="263" t="s">
        <v>340</v>
      </c>
      <c r="C46" s="450">
        <f>C24*SUMIF('Total budget'!$E$10:$E$11,"Prototype development",'Total budget'!$N$10:$N$11)</f>
        <v>0</v>
      </c>
      <c r="D46" s="450">
        <f>D24*SUMIF('Total budget'!$E$10:$E$11,"Prototype development",'Total budget'!$N$10:$N$11)</f>
        <v>0</v>
      </c>
      <c r="E46" s="450">
        <f>E24*SUMIF('Total budget'!$E$10:$E$11,"Prototype development",'Total budget'!$N$10:$N$11)</f>
        <v>0</v>
      </c>
      <c r="F46" s="450">
        <f>F24*SUMIF('Total budget'!$E$10:$E$11,"Prototype development",'Total budget'!$N$10:$N$11)</f>
        <v>0</v>
      </c>
      <c r="G46" s="450">
        <f>G24*SUMIF('Total budget'!$E$10:$E$11,"Prototype development",'Total budget'!$N$10:$N$11)</f>
        <v>0</v>
      </c>
      <c r="H46" s="450">
        <f>C46+D46+E46+F46+G46</f>
        <v>0</v>
      </c>
    </row>
    <row r="47" spans="2:8">
      <c r="C47" s="366"/>
      <c r="D47" s="366"/>
      <c r="E47" s="366"/>
      <c r="F47" s="366"/>
      <c r="G47" s="366"/>
    </row>
    <row r="48" spans="2:8" ht="18">
      <c r="B48" s="612" t="s">
        <v>341</v>
      </c>
      <c r="C48" s="613"/>
      <c r="D48" s="613"/>
      <c r="E48" s="613"/>
      <c r="F48" s="613"/>
      <c r="G48" s="613"/>
      <c r="H48" s="614"/>
    </row>
    <row r="49" spans="2:8" ht="20.25" customHeight="1">
      <c r="B49" s="615"/>
      <c r="C49" s="615"/>
      <c r="D49" s="615"/>
      <c r="E49" s="615"/>
      <c r="F49" s="615"/>
      <c r="G49" s="615"/>
      <c r="H49" s="615"/>
    </row>
    <row r="50" spans="2:8" ht="14.25" customHeight="1">
      <c r="B50" s="271"/>
      <c r="C50" s="271"/>
      <c r="D50" s="271"/>
      <c r="E50" s="271"/>
      <c r="F50" s="271"/>
      <c r="G50" s="271"/>
      <c r="H50" s="271"/>
    </row>
    <row r="51" spans="2:8" ht="20.25" customHeight="1">
      <c r="B51" s="452" t="s">
        <v>342</v>
      </c>
      <c r="C51" s="453" t="s">
        <v>343</v>
      </c>
      <c r="D51" s="454"/>
      <c r="E51" s="616">
        <v>0.1</v>
      </c>
      <c r="F51" s="617"/>
      <c r="G51" s="455"/>
      <c r="H51" s="456"/>
    </row>
    <row r="52" spans="2:8" ht="28.5" customHeight="1">
      <c r="B52" s="607" t="s">
        <v>344</v>
      </c>
      <c r="C52" s="608"/>
      <c r="D52" s="608"/>
      <c r="E52" s="608"/>
      <c r="F52" s="608"/>
      <c r="G52" s="608"/>
      <c r="H52" s="618"/>
    </row>
    <row r="53" spans="2:8" ht="30" customHeight="1">
      <c r="B53" s="599"/>
      <c r="C53" s="600"/>
      <c r="D53" s="600"/>
      <c r="E53" s="600"/>
      <c r="F53" s="600"/>
      <c r="G53" s="600"/>
      <c r="H53" s="601"/>
    </row>
    <row r="54" spans="2:8" ht="12.75">
      <c r="B54" s="602"/>
      <c r="C54" s="603"/>
      <c r="D54" s="603"/>
      <c r="E54" s="603"/>
      <c r="F54" s="603"/>
      <c r="G54" s="603"/>
      <c r="H54" s="604"/>
    </row>
    <row r="56" spans="2:8" ht="12.75">
      <c r="B56" s="452" t="s">
        <v>345</v>
      </c>
      <c r="C56" s="460" t="s">
        <v>346</v>
      </c>
      <c r="D56" s="461"/>
      <c r="E56" s="616">
        <v>0.2</v>
      </c>
      <c r="F56" s="617"/>
      <c r="G56" s="461"/>
      <c r="H56" s="462"/>
    </row>
    <row r="57" spans="2:8" ht="15.75" customHeight="1">
      <c r="B57" s="607" t="s">
        <v>347</v>
      </c>
      <c r="C57" s="608"/>
      <c r="D57" s="608"/>
      <c r="E57" s="608"/>
      <c r="F57" s="608"/>
      <c r="G57" s="608"/>
      <c r="H57" s="618"/>
    </row>
    <row r="58" spans="2:8" ht="16.5" customHeight="1">
      <c r="B58" s="599"/>
      <c r="C58" s="600"/>
      <c r="D58" s="600"/>
      <c r="E58" s="600"/>
      <c r="F58" s="600"/>
      <c r="G58" s="600"/>
      <c r="H58" s="601"/>
    </row>
    <row r="59" spans="2:8" ht="12.75">
      <c r="B59" s="602"/>
      <c r="C59" s="603"/>
      <c r="D59" s="603"/>
      <c r="E59" s="603"/>
      <c r="F59" s="603"/>
      <c r="G59" s="603"/>
      <c r="H59" s="604"/>
    </row>
    <row r="61" spans="2:8" ht="12.75" customHeight="1">
      <c r="B61" s="452" t="s">
        <v>348</v>
      </c>
      <c r="C61" s="463" t="s">
        <v>349</v>
      </c>
      <c r="D61" s="464"/>
      <c r="E61" s="619">
        <v>0.3</v>
      </c>
      <c r="F61" s="606"/>
      <c r="G61" s="464"/>
      <c r="H61" s="466"/>
    </row>
    <row r="62" spans="2:8" ht="15" customHeight="1">
      <c r="B62" s="609" t="s">
        <v>350</v>
      </c>
      <c r="C62" s="610"/>
      <c r="D62" s="610"/>
      <c r="E62" s="610"/>
      <c r="F62" s="610"/>
      <c r="G62" s="610"/>
      <c r="H62" s="611"/>
    </row>
    <row r="63" spans="2:8" ht="14.25" customHeight="1">
      <c r="B63" s="599"/>
      <c r="C63" s="600"/>
      <c r="D63" s="600"/>
      <c r="E63" s="600"/>
      <c r="F63" s="600"/>
      <c r="G63" s="600"/>
      <c r="H63" s="601"/>
    </row>
    <row r="64" spans="2:8" ht="12.75">
      <c r="B64" s="602"/>
      <c r="C64" s="603"/>
      <c r="D64" s="603"/>
      <c r="E64" s="603"/>
      <c r="F64" s="603"/>
      <c r="G64" s="603"/>
      <c r="H64" s="604"/>
    </row>
    <row r="66" spans="2:8" ht="13.5" thickBot="1">
      <c r="B66" s="452" t="s">
        <v>351</v>
      </c>
      <c r="C66" s="605" t="s">
        <v>352</v>
      </c>
      <c r="D66" s="606"/>
      <c r="E66" s="465">
        <v>0.2</v>
      </c>
      <c r="F66" s="464"/>
      <c r="G66" s="464"/>
      <c r="H66" s="466"/>
    </row>
    <row r="67" spans="2:8" ht="61.5" customHeight="1">
      <c r="B67" s="607" t="s">
        <v>353</v>
      </c>
      <c r="C67" s="608"/>
      <c r="D67" s="608"/>
      <c r="E67" s="459"/>
      <c r="F67" s="457"/>
      <c r="G67" s="457"/>
      <c r="H67" s="458"/>
    </row>
    <row r="68" spans="2:8" ht="17.25" customHeight="1">
      <c r="B68" s="599"/>
      <c r="C68" s="600"/>
      <c r="D68" s="600"/>
      <c r="E68" s="600"/>
      <c r="F68" s="600"/>
      <c r="G68" s="600"/>
      <c r="H68" s="601"/>
    </row>
    <row r="69" spans="2:8" ht="12.75">
      <c r="B69" s="602"/>
      <c r="C69" s="603"/>
      <c r="D69" s="603"/>
      <c r="E69" s="603"/>
      <c r="F69" s="603"/>
      <c r="G69" s="603"/>
      <c r="H69" s="604"/>
    </row>
    <row r="71" spans="2:8" ht="12.75">
      <c r="B71" s="452" t="s">
        <v>354</v>
      </c>
      <c r="C71" s="605" t="s">
        <v>355</v>
      </c>
      <c r="D71" s="606"/>
      <c r="E71" s="465">
        <v>0.15</v>
      </c>
      <c r="F71" s="454"/>
      <c r="G71" s="454"/>
      <c r="H71" s="467"/>
    </row>
    <row r="72" spans="2:8" ht="34.5" customHeight="1">
      <c r="B72" s="609" t="s">
        <v>356</v>
      </c>
      <c r="C72" s="610"/>
      <c r="D72" s="610"/>
      <c r="E72" s="610"/>
      <c r="F72" s="610"/>
      <c r="G72" s="610"/>
      <c r="H72" s="611"/>
    </row>
    <row r="73" spans="2:8" ht="14.25" customHeight="1">
      <c r="B73" s="599"/>
      <c r="C73" s="600"/>
      <c r="D73" s="600"/>
      <c r="E73" s="600"/>
      <c r="F73" s="600"/>
      <c r="G73" s="600"/>
      <c r="H73" s="601"/>
    </row>
    <row r="74" spans="2:8" ht="12.75">
      <c r="B74" s="602"/>
      <c r="C74" s="603"/>
      <c r="D74" s="603"/>
      <c r="E74" s="603"/>
      <c r="F74" s="603"/>
      <c r="G74" s="603"/>
      <c r="H74" s="604"/>
    </row>
    <row r="76" spans="2:8" ht="12.75">
      <c r="B76" s="316"/>
      <c r="C76" s="316"/>
      <c r="D76" s="316"/>
      <c r="E76" s="316"/>
      <c r="F76" s="316"/>
      <c r="G76" s="316"/>
      <c r="H76" s="316"/>
    </row>
    <row r="77" spans="2:8" ht="12.75">
      <c r="B77" s="317"/>
      <c r="C77" s="317"/>
      <c r="D77" s="317"/>
      <c r="E77" s="317"/>
      <c r="F77" s="317"/>
      <c r="G77" s="317"/>
      <c r="H77" s="317"/>
    </row>
    <row r="78" spans="2:8" ht="12.75">
      <c r="B78" s="317"/>
      <c r="C78" s="317"/>
      <c r="D78" s="317"/>
      <c r="E78" s="317"/>
      <c r="F78" s="317"/>
      <c r="G78" s="317"/>
      <c r="H78" s="317"/>
    </row>
    <row r="79" spans="2:8" ht="12.75">
      <c r="B79" s="317"/>
      <c r="C79" s="317"/>
      <c r="D79" s="317"/>
      <c r="E79" s="317"/>
      <c r="F79" s="317"/>
      <c r="G79" s="317"/>
      <c r="H79" s="317"/>
    </row>
    <row r="81" spans="2:8" ht="12.75">
      <c r="B81" s="316"/>
      <c r="C81" s="316"/>
      <c r="D81" s="316"/>
      <c r="E81" s="316"/>
      <c r="F81" s="316"/>
      <c r="G81" s="316"/>
      <c r="H81" s="316"/>
    </row>
    <row r="82" spans="2:8" ht="12.75">
      <c r="B82" s="317"/>
      <c r="C82" s="317"/>
      <c r="D82" s="317"/>
      <c r="E82" s="317"/>
      <c r="F82" s="317"/>
      <c r="G82" s="317"/>
      <c r="H82" s="317"/>
    </row>
    <row r="83" spans="2:8" ht="12.75">
      <c r="B83" s="317"/>
      <c r="C83" s="317"/>
      <c r="D83" s="317"/>
      <c r="E83" s="317"/>
      <c r="F83" s="317"/>
      <c r="G83" s="317"/>
      <c r="H83" s="317"/>
    </row>
    <row r="84" spans="2:8" ht="12.75">
      <c r="B84" s="317"/>
      <c r="C84" s="317"/>
      <c r="D84" s="317"/>
      <c r="E84" s="317"/>
      <c r="F84" s="317"/>
      <c r="G84" s="317"/>
      <c r="H84" s="317"/>
    </row>
    <row r="86" spans="2:8" ht="12.75">
      <c r="B86" s="316"/>
      <c r="C86" s="316"/>
      <c r="D86" s="316"/>
      <c r="E86" s="316"/>
      <c r="F86" s="316"/>
      <c r="G86" s="316"/>
      <c r="H86" s="316"/>
    </row>
    <row r="87" spans="2:8" ht="12.75">
      <c r="B87" s="317"/>
      <c r="C87" s="317"/>
      <c r="D87" s="317"/>
      <c r="E87" s="317"/>
      <c r="F87" s="317"/>
      <c r="G87" s="317"/>
      <c r="H87" s="317"/>
    </row>
    <row r="88" spans="2:8" ht="12.75">
      <c r="B88" s="317"/>
      <c r="C88" s="317"/>
      <c r="D88" s="317"/>
      <c r="E88" s="317"/>
      <c r="F88" s="317"/>
      <c r="G88" s="317"/>
      <c r="H88" s="317"/>
    </row>
    <row r="89" spans="2:8" ht="12.75">
      <c r="B89" s="317"/>
      <c r="C89" s="317"/>
      <c r="D89" s="317"/>
      <c r="E89" s="317"/>
      <c r="F89" s="317"/>
      <c r="G89" s="317"/>
      <c r="H89" s="317"/>
    </row>
  </sheetData>
  <sheetProtection algorithmName="SHA-512" hashValue="HGgEABuDICBQNSar8jLOSFYfkXqeapKYCp7ZAkHpf50agKbrr+zgc/aCRC4HlzLLwfgj/P8M/kqeyHahI3CH2g==" saltValue="vq+bymRjy6qaeuSVqM21BQ==" spinCount="100000" sheet="1" objects="1" scenarios="1"/>
  <mergeCells count="22">
    <mergeCell ref="B54:H54"/>
    <mergeCell ref="B63:H63"/>
    <mergeCell ref="B58:H58"/>
    <mergeCell ref="B59:H59"/>
    <mergeCell ref="E56:F56"/>
    <mergeCell ref="E61:F61"/>
    <mergeCell ref="B57:H57"/>
    <mergeCell ref="B62:H62"/>
    <mergeCell ref="B53:H53"/>
    <mergeCell ref="B48:H48"/>
    <mergeCell ref="B49:H49"/>
    <mergeCell ref="E51:F51"/>
    <mergeCell ref="B52:H52"/>
    <mergeCell ref="B68:H68"/>
    <mergeCell ref="B64:H64"/>
    <mergeCell ref="B69:H69"/>
    <mergeCell ref="B73:H73"/>
    <mergeCell ref="B74:H74"/>
    <mergeCell ref="C66:D66"/>
    <mergeCell ref="C71:D71"/>
    <mergeCell ref="B67:D67"/>
    <mergeCell ref="B72:H72"/>
  </mergeCells>
  <pageMargins left="0.7" right="0.7" top="0.75" bottom="0.75" header="0.3" footer="0.3"/>
  <pageSetup paperSize="0" orientation="portrait" horizontalDpi="0" verticalDpi="0" copies="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B4731-9B2A-4B9E-9072-5A7E2BDB3F9A}">
  <dimension ref="A1"/>
  <sheetViews>
    <sheetView workbookViewId="0">
      <selection activeCell="E57" sqref="E57"/>
    </sheetView>
  </sheetViews>
  <sheetFormatPr defaultRowHeight="1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D3E68ADD95BFC458AEBD9B1DC18D637" ma:contentTypeVersion="6" ma:contentTypeDescription="Een nieuw document maken." ma:contentTypeScope="" ma:versionID="2babd5ef01d0086c71febb5fe9be94ec">
  <xsd:schema xmlns:xsd="http://www.w3.org/2001/XMLSchema" xmlns:xs="http://www.w3.org/2001/XMLSchema" xmlns:p="http://schemas.microsoft.com/office/2006/metadata/properties" xmlns:ns2="4bf6b02e-eb71-4a21-a180-4eaa35de414a" xmlns:ns3="14b35694-1cc2-4eed-97b7-ba0402976e79" targetNamespace="http://schemas.microsoft.com/office/2006/metadata/properties" ma:root="true" ma:fieldsID="8c8635624113749adcd051159865f227" ns2:_="" ns3:_="">
    <xsd:import namespace="4bf6b02e-eb71-4a21-a180-4eaa35de414a"/>
    <xsd:import namespace="14b35694-1cc2-4eed-97b7-ba0402976e7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f6b02e-eb71-4a21-a180-4eaa35de41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4b35694-1cc2-4eed-97b7-ba0402976e79" elementFormDefault="qualified">
    <xsd:import namespace="http://schemas.microsoft.com/office/2006/documentManagement/types"/>
    <xsd:import namespace="http://schemas.microsoft.com/office/infopath/2007/PartnerControls"/>
    <xsd:element name="SharedWithUsers" ma:index="12"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878C382-4E7B-442D-9A2B-FF440E2319AB}"/>
</file>

<file path=customXml/itemProps2.xml><?xml version="1.0" encoding="utf-8"?>
<ds:datastoreItem xmlns:ds="http://schemas.openxmlformats.org/officeDocument/2006/customXml" ds:itemID="{8B037FA9-F805-47E0-A7DF-21AD8316E37B}"/>
</file>

<file path=customXml/itemProps3.xml><?xml version="1.0" encoding="utf-8"?>
<ds:datastoreItem xmlns:ds="http://schemas.openxmlformats.org/officeDocument/2006/customXml" ds:itemID="{21B0CE89-6DC3-4F33-8ECB-3826C0851042}"/>
</file>

<file path=docMetadata/LabelInfo.xml><?xml version="1.0" encoding="utf-8"?>
<clbl:labelList xmlns:clbl="http://schemas.microsoft.com/office/2020/mipLabelMetadata">
  <clbl:label id="{4bde8109-f994-4a60-a1d3-5c95e2ff3620}" enabled="1" method="Privileged" siteId="{1321633e-f6b9-44e2-a44f-59b9d264ecb7}"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ERTMS 2025 - Modelbegroting</dc:title>
  <dc:subject/>
  <dc:creator>Rijkst;Netherlands Enterpice Agency</dc:creator>
  <cp:keywords/>
  <dc:description/>
  <cp:lastModifiedBy/>
  <cp:revision/>
  <dcterms:created xsi:type="dcterms:W3CDTF">1997-07-29T07:48:20Z</dcterms:created>
  <dcterms:modified xsi:type="dcterms:W3CDTF">2025-05-06T12:08:35Z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0x010100ED3E68ADD95BFC458AEBD9B1DC18D637</vt:lpwstr>
  </property>
  <property fmtid="{D5CDD505-2E9C-101B-9397-08002B2CF9AE}" pid="3" name="MediaServiceImageTags">
    <vt:lpwstr/>
  </property>
</Properties>
</file>