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06FC19F2-5C35-493C-B981-D34C1CA3524F}" xr6:coauthVersionLast="47" xr6:coauthVersionMax="47" xr10:uidLastSave="{00000000-0000-0000-0000-000000000000}"/>
  <workbookProtection workbookPassword="E3C3" lockStructure="1"/>
  <bookViews>
    <workbookView xWindow="-120" yWindow="-120" windowWidth="21840" windowHeight="13020" tabRatio="773" activeTab="2" xr2:uid="{CC0C7204-D32E-4354-8847-FB0370FED615}"/>
  </bookViews>
  <sheets>
    <sheet name="Uw aanvraag" sheetId="19" r:id="rId1"/>
    <sheet name="Alle categorieën niet oplopend" sheetId="24" state="hidden" r:id="rId2"/>
    <sheet name="Alle categorieën" sheetId="26" r:id="rId3"/>
    <sheet name="Hulpblad" sheetId="25" state="hidden" r:id="rId4"/>
  </sheets>
  <externalReferences>
    <externalReference r:id="rId5"/>
  </externalReferences>
  <definedNames>
    <definedName name="_xlnm._FilterDatabase" localSheetId="2" hidden="1">'Alle categorieën'!$A$2:$C$2</definedName>
    <definedName name="_xlnm._FilterDatabase" localSheetId="1" hidden="1">'Alle categorieën niet oplopend'!$A$2:$B$2</definedName>
    <definedName name="_xlnm.Print_Area" localSheetId="0">'Uw aanvraag'!$A$1:$F$9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4" i="26" l="1"/>
  <c r="B200" i="26"/>
  <c r="B195" i="26"/>
  <c r="F39" i="25"/>
  <c r="E39" i="25"/>
  <c r="D39" i="25"/>
  <c r="B39" i="24"/>
  <c r="B40" i="24"/>
  <c r="B41" i="24"/>
  <c r="F132" i="25"/>
  <c r="F133" i="25"/>
  <c r="F134" i="25"/>
  <c r="G132" i="25"/>
  <c r="H132" i="25"/>
  <c r="I132" i="25"/>
  <c r="J132" i="25"/>
  <c r="G133" i="25"/>
  <c r="H133" i="25"/>
  <c r="I133" i="25"/>
  <c r="J133" i="25"/>
  <c r="G134" i="25"/>
  <c r="H134" i="25"/>
  <c r="I134" i="25"/>
  <c r="J134" i="25"/>
  <c r="P132" i="25"/>
  <c r="P133" i="25"/>
  <c r="P134" i="25"/>
  <c r="N132" i="25"/>
  <c r="O132" i="25"/>
  <c r="N133" i="25"/>
  <c r="O133" i="25"/>
  <c r="N134" i="25"/>
  <c r="O134" i="25"/>
  <c r="B212" i="26"/>
  <c r="B109" i="26"/>
  <c r="K48" i="25"/>
  <c r="G335" i="25"/>
  <c r="H335" i="25"/>
  <c r="I335" i="25"/>
  <c r="J335" i="25"/>
  <c r="N335" i="25"/>
  <c r="O335" i="25"/>
  <c r="P335" i="25"/>
  <c r="F335" i="25"/>
  <c r="Z349" i="25"/>
  <c r="P349" i="25"/>
  <c r="B57" i="26"/>
  <c r="B216" i="24"/>
  <c r="N349" i="25"/>
  <c r="O349" i="25"/>
  <c r="J349" i="25"/>
  <c r="I349" i="25"/>
  <c r="H349" i="25"/>
  <c r="G349" i="25"/>
  <c r="F349" i="25"/>
  <c r="Z348" i="25"/>
  <c r="P348" i="25"/>
  <c r="B17" i="26"/>
  <c r="B215" i="24"/>
  <c r="N348" i="25"/>
  <c r="O348" i="25"/>
  <c r="J348" i="25"/>
  <c r="I348" i="25"/>
  <c r="H348" i="25"/>
  <c r="G348" i="25"/>
  <c r="F348" i="25"/>
  <c r="P345" i="25"/>
  <c r="B49" i="26"/>
  <c r="B214" i="24"/>
  <c r="N345" i="25"/>
  <c r="O345" i="25"/>
  <c r="J345" i="25"/>
  <c r="I345" i="25"/>
  <c r="H345" i="25"/>
  <c r="G345" i="25"/>
  <c r="F345" i="25"/>
  <c r="P344" i="25"/>
  <c r="B218" i="26"/>
  <c r="B213" i="24"/>
  <c r="N344" i="25"/>
  <c r="O344" i="25"/>
  <c r="J344" i="25"/>
  <c r="I344" i="25"/>
  <c r="H344" i="25"/>
  <c r="G344" i="25"/>
  <c r="F344" i="25"/>
  <c r="Z343" i="25"/>
  <c r="P343" i="25"/>
  <c r="B217" i="26"/>
  <c r="B212" i="24"/>
  <c r="N343" i="25"/>
  <c r="O343" i="25"/>
  <c r="J343" i="25"/>
  <c r="I343" i="25"/>
  <c r="H343" i="25"/>
  <c r="G343" i="25"/>
  <c r="F343" i="25"/>
  <c r="Z342" i="25"/>
  <c r="P342" i="25"/>
  <c r="B18" i="26"/>
  <c r="B211" i="24"/>
  <c r="N342" i="25"/>
  <c r="O342" i="25"/>
  <c r="J342" i="25"/>
  <c r="I342" i="25"/>
  <c r="H342" i="25"/>
  <c r="G342" i="25"/>
  <c r="F342" i="25"/>
  <c r="Z341" i="25"/>
  <c r="P341" i="25"/>
  <c r="B62" i="26"/>
  <c r="B210" i="24"/>
  <c r="N341" i="25"/>
  <c r="O341" i="25"/>
  <c r="J341" i="25"/>
  <c r="I341" i="25"/>
  <c r="H341" i="25"/>
  <c r="G341" i="25"/>
  <c r="F341" i="25"/>
  <c r="P340" i="25"/>
  <c r="B122" i="26"/>
  <c r="B209" i="24"/>
  <c r="N340" i="25"/>
  <c r="O340" i="25"/>
  <c r="J340" i="25"/>
  <c r="I340" i="25"/>
  <c r="H340" i="25"/>
  <c r="G340" i="25"/>
  <c r="F340" i="25"/>
  <c r="Z339" i="25"/>
  <c r="P339" i="25"/>
  <c r="B28" i="26"/>
  <c r="B208" i="24"/>
  <c r="N339" i="25"/>
  <c r="O339" i="25"/>
  <c r="J339" i="25"/>
  <c r="I339" i="25"/>
  <c r="H339" i="25"/>
  <c r="G339" i="25"/>
  <c r="F339" i="25"/>
  <c r="Z338" i="25"/>
  <c r="P338" i="25"/>
  <c r="B68" i="26"/>
  <c r="B207" i="24"/>
  <c r="N338" i="25"/>
  <c r="O338" i="25"/>
  <c r="J338" i="25"/>
  <c r="I338" i="25"/>
  <c r="H338" i="25"/>
  <c r="G338" i="25"/>
  <c r="F338" i="25"/>
  <c r="P334" i="25"/>
  <c r="B219" i="26"/>
  <c r="B205" i="24"/>
  <c r="N334" i="25"/>
  <c r="O334" i="25"/>
  <c r="J334" i="25"/>
  <c r="I334" i="25"/>
  <c r="H334" i="25"/>
  <c r="G334" i="25"/>
  <c r="F334" i="25"/>
  <c r="P333" i="25"/>
  <c r="B206" i="26"/>
  <c r="B204" i="24"/>
  <c r="N333" i="25"/>
  <c r="O333" i="25"/>
  <c r="J333" i="25"/>
  <c r="I333" i="25"/>
  <c r="H333" i="25"/>
  <c r="G333" i="25"/>
  <c r="F333" i="25"/>
  <c r="P332" i="25"/>
  <c r="B199" i="26"/>
  <c r="B203" i="24"/>
  <c r="N332" i="25"/>
  <c r="O332" i="25"/>
  <c r="J332" i="25"/>
  <c r="I332" i="25"/>
  <c r="H332" i="25"/>
  <c r="G332" i="25"/>
  <c r="F332" i="25"/>
  <c r="P331" i="25"/>
  <c r="B156" i="26"/>
  <c r="B202" i="24"/>
  <c r="N331" i="25"/>
  <c r="O331" i="25"/>
  <c r="J331" i="25"/>
  <c r="I331" i="25"/>
  <c r="H331" i="25"/>
  <c r="G331" i="25"/>
  <c r="F331" i="25"/>
  <c r="P330" i="25"/>
  <c r="B132" i="26"/>
  <c r="B201" i="24"/>
  <c r="N330" i="25"/>
  <c r="O330" i="25"/>
  <c r="J330" i="25"/>
  <c r="I330" i="25"/>
  <c r="H330" i="25"/>
  <c r="G330" i="25"/>
  <c r="F330" i="25"/>
  <c r="Z329" i="25"/>
  <c r="P329" i="25"/>
  <c r="B46" i="26"/>
  <c r="B200" i="24"/>
  <c r="N329" i="25"/>
  <c r="O329" i="25"/>
  <c r="J329" i="25"/>
  <c r="I329" i="25"/>
  <c r="H329" i="25"/>
  <c r="G329" i="25"/>
  <c r="F329" i="25"/>
  <c r="Z328" i="25"/>
  <c r="P328" i="25"/>
  <c r="B24" i="26"/>
  <c r="B199" i="24"/>
  <c r="N328" i="25"/>
  <c r="O328" i="25"/>
  <c r="J328" i="25"/>
  <c r="I328" i="25"/>
  <c r="H328" i="25"/>
  <c r="G328" i="25"/>
  <c r="F328" i="25"/>
  <c r="Z327" i="25"/>
  <c r="P327" i="25"/>
  <c r="B10" i="26"/>
  <c r="B198" i="24"/>
  <c r="N327" i="25"/>
  <c r="O327" i="25"/>
  <c r="J327" i="25"/>
  <c r="I327" i="25"/>
  <c r="H327" i="25"/>
  <c r="G327" i="25"/>
  <c r="F327" i="25"/>
  <c r="P326" i="25"/>
  <c r="B6" i="26"/>
  <c r="B197" i="24"/>
  <c r="N326" i="25"/>
  <c r="O326" i="25"/>
  <c r="J326" i="25"/>
  <c r="I326" i="25"/>
  <c r="H326" i="25"/>
  <c r="G326" i="25"/>
  <c r="F326" i="25"/>
  <c r="P325" i="25"/>
  <c r="B3" i="26"/>
  <c r="B196" i="24"/>
  <c r="N325" i="25"/>
  <c r="O325" i="25"/>
  <c r="J325" i="25"/>
  <c r="I325" i="25"/>
  <c r="H325" i="25"/>
  <c r="G325" i="25"/>
  <c r="F325" i="25"/>
  <c r="P322" i="25"/>
  <c r="B138" i="26"/>
  <c r="B195" i="24"/>
  <c r="N322" i="25"/>
  <c r="O322" i="25"/>
  <c r="J322" i="25"/>
  <c r="I322" i="25"/>
  <c r="H322" i="25"/>
  <c r="G322" i="25"/>
  <c r="F322" i="25"/>
  <c r="P321" i="25"/>
  <c r="B221" i="26"/>
  <c r="B194" i="24"/>
  <c r="N321" i="25"/>
  <c r="O321" i="25"/>
  <c r="J321" i="25"/>
  <c r="I321" i="25"/>
  <c r="H321" i="25"/>
  <c r="G321" i="25"/>
  <c r="F321" i="25"/>
  <c r="P320" i="25"/>
  <c r="B117" i="26"/>
  <c r="B193" i="24"/>
  <c r="N320" i="25"/>
  <c r="O320" i="25"/>
  <c r="J320" i="25"/>
  <c r="I320" i="25"/>
  <c r="H320" i="25"/>
  <c r="G320" i="25"/>
  <c r="F320" i="25"/>
  <c r="P319" i="25"/>
  <c r="B42" i="26"/>
  <c r="B192" i="24"/>
  <c r="N319" i="25"/>
  <c r="O319" i="25"/>
  <c r="J319" i="25"/>
  <c r="I319" i="25"/>
  <c r="H319" i="25"/>
  <c r="G319" i="25"/>
  <c r="F319" i="25"/>
  <c r="P318" i="25"/>
  <c r="B158" i="26"/>
  <c r="B191" i="24"/>
  <c r="N318" i="25"/>
  <c r="O318" i="25"/>
  <c r="J318" i="25"/>
  <c r="I318" i="25"/>
  <c r="H318" i="25"/>
  <c r="G318" i="25"/>
  <c r="F318" i="25"/>
  <c r="P317" i="25"/>
  <c r="B54" i="26"/>
  <c r="B190" i="24"/>
  <c r="N317" i="25"/>
  <c r="O317" i="25"/>
  <c r="J317" i="25"/>
  <c r="I317" i="25"/>
  <c r="H317" i="25"/>
  <c r="G317" i="25"/>
  <c r="F317" i="25"/>
  <c r="P316" i="25"/>
  <c r="B7" i="26"/>
  <c r="B189" i="24"/>
  <c r="N316" i="25"/>
  <c r="O316" i="25"/>
  <c r="J316" i="25"/>
  <c r="I316" i="25"/>
  <c r="H316" i="25"/>
  <c r="G316" i="25"/>
  <c r="F316" i="25"/>
  <c r="P315" i="25"/>
  <c r="B205" i="26"/>
  <c r="B188" i="24"/>
  <c r="N315" i="25"/>
  <c r="O315" i="25"/>
  <c r="J315" i="25"/>
  <c r="I315" i="25"/>
  <c r="H315" i="25"/>
  <c r="G315" i="25"/>
  <c r="F315" i="25"/>
  <c r="P314" i="25"/>
  <c r="B90" i="26"/>
  <c r="B187" i="24"/>
  <c r="N314" i="25"/>
  <c r="O314" i="25"/>
  <c r="J314" i="25"/>
  <c r="I314" i="25"/>
  <c r="H314" i="25"/>
  <c r="G314" i="25"/>
  <c r="F314" i="25"/>
  <c r="P313" i="25"/>
  <c r="B25" i="26"/>
  <c r="B186" i="24"/>
  <c r="N313" i="25"/>
  <c r="O313" i="25"/>
  <c r="J313" i="25"/>
  <c r="I313" i="25"/>
  <c r="H313" i="25"/>
  <c r="G313" i="25"/>
  <c r="F313" i="25"/>
  <c r="Z310" i="25"/>
  <c r="P310" i="25"/>
  <c r="B190" i="26"/>
  <c r="B185" i="24"/>
  <c r="N310" i="25"/>
  <c r="O310" i="25"/>
  <c r="J310" i="25"/>
  <c r="I310" i="25"/>
  <c r="H310" i="25"/>
  <c r="G310" i="25"/>
  <c r="F310" i="25"/>
  <c r="Z307" i="25"/>
  <c r="P307" i="25"/>
  <c r="B64" i="26"/>
  <c r="B184" i="24"/>
  <c r="N307" i="25"/>
  <c r="O307" i="25"/>
  <c r="J307" i="25"/>
  <c r="I307" i="25"/>
  <c r="H307" i="25"/>
  <c r="G307" i="25"/>
  <c r="F307" i="25"/>
  <c r="Z306" i="25"/>
  <c r="P306" i="25"/>
  <c r="B136" i="26"/>
  <c r="B183" i="24"/>
  <c r="N306" i="25"/>
  <c r="O306" i="25"/>
  <c r="J306" i="25"/>
  <c r="I306" i="25"/>
  <c r="H306" i="25"/>
  <c r="G306" i="25"/>
  <c r="F306" i="25"/>
  <c r="Z305" i="25"/>
  <c r="P305" i="25"/>
  <c r="B73" i="26"/>
  <c r="B182" i="24"/>
  <c r="N305" i="25"/>
  <c r="O305" i="25"/>
  <c r="J305" i="25"/>
  <c r="I305" i="25"/>
  <c r="H305" i="25"/>
  <c r="G305" i="25"/>
  <c r="F305" i="25"/>
  <c r="Z304" i="25"/>
  <c r="P304" i="25"/>
  <c r="B96" i="26"/>
  <c r="B181" i="24"/>
  <c r="N304" i="25"/>
  <c r="O304" i="25"/>
  <c r="J304" i="25"/>
  <c r="I304" i="25"/>
  <c r="H304" i="25"/>
  <c r="G304" i="25"/>
  <c r="F304" i="25"/>
  <c r="Z303" i="25"/>
  <c r="P303" i="25"/>
  <c r="B21" i="26"/>
  <c r="B180" i="24"/>
  <c r="N303" i="25"/>
  <c r="O303" i="25"/>
  <c r="J303" i="25"/>
  <c r="I303" i="25"/>
  <c r="H303" i="25"/>
  <c r="G303" i="25"/>
  <c r="F303" i="25"/>
  <c r="Z302" i="25"/>
  <c r="P302" i="25"/>
  <c r="B23" i="26"/>
  <c r="B179" i="24"/>
  <c r="N302" i="25"/>
  <c r="O302" i="25"/>
  <c r="J302" i="25"/>
  <c r="I302" i="25"/>
  <c r="H302" i="25"/>
  <c r="G302" i="25"/>
  <c r="F302" i="25"/>
  <c r="Z299" i="25"/>
  <c r="P299" i="25"/>
  <c r="B26" i="26"/>
  <c r="B178" i="24"/>
  <c r="N299" i="25"/>
  <c r="O299" i="25"/>
  <c r="J299" i="25"/>
  <c r="I299" i="25"/>
  <c r="H299" i="25"/>
  <c r="G299" i="25"/>
  <c r="F299" i="25"/>
  <c r="Z298" i="25"/>
  <c r="P298" i="25"/>
  <c r="B67" i="26"/>
  <c r="B177" i="24"/>
  <c r="N298" i="25"/>
  <c r="O298" i="25"/>
  <c r="J298" i="25"/>
  <c r="I298" i="25"/>
  <c r="H298" i="25"/>
  <c r="G298" i="25"/>
  <c r="F298" i="25"/>
  <c r="Z297" i="25"/>
  <c r="P297" i="25"/>
  <c r="B59" i="26"/>
  <c r="B176" i="24"/>
  <c r="N297" i="25"/>
  <c r="O297" i="25"/>
  <c r="J297" i="25"/>
  <c r="I297" i="25"/>
  <c r="H297" i="25"/>
  <c r="G297" i="25"/>
  <c r="F297" i="25"/>
  <c r="Z296" i="25"/>
  <c r="P296" i="25"/>
  <c r="B43" i="26"/>
  <c r="B175" i="24"/>
  <c r="N296" i="25"/>
  <c r="O296" i="25"/>
  <c r="J296" i="25"/>
  <c r="I296" i="25"/>
  <c r="H296" i="25"/>
  <c r="G296" i="25"/>
  <c r="F296" i="25"/>
  <c r="Z295" i="25"/>
  <c r="P295" i="25"/>
  <c r="B31" i="26"/>
  <c r="B174" i="24"/>
  <c r="N295" i="25"/>
  <c r="O295" i="25"/>
  <c r="J295" i="25"/>
  <c r="I295" i="25"/>
  <c r="H295" i="25"/>
  <c r="G295" i="25"/>
  <c r="F295" i="25"/>
  <c r="Z294" i="25"/>
  <c r="P294" i="25"/>
  <c r="B65" i="26"/>
  <c r="B173" i="24"/>
  <c r="N294" i="25"/>
  <c r="O294" i="25"/>
  <c r="J294" i="25"/>
  <c r="I294" i="25"/>
  <c r="H294" i="25"/>
  <c r="G294" i="25"/>
  <c r="F294" i="25"/>
  <c r="Z293" i="25"/>
  <c r="P293" i="25"/>
  <c r="B53" i="26"/>
  <c r="B172" i="24"/>
  <c r="N293" i="25"/>
  <c r="O293" i="25"/>
  <c r="J293" i="25"/>
  <c r="I293" i="25"/>
  <c r="H293" i="25"/>
  <c r="G293" i="25"/>
  <c r="F293" i="25"/>
  <c r="Z292" i="25"/>
  <c r="P292" i="25"/>
  <c r="B15" i="26"/>
  <c r="B171" i="24"/>
  <c r="N292" i="25"/>
  <c r="O292" i="25"/>
  <c r="J292" i="25"/>
  <c r="I292" i="25"/>
  <c r="H292" i="25"/>
  <c r="G292" i="25"/>
  <c r="F292" i="25"/>
  <c r="Z291" i="25"/>
  <c r="P291" i="25"/>
  <c r="B8" i="26"/>
  <c r="B170" i="24"/>
  <c r="N291" i="25"/>
  <c r="O291" i="25"/>
  <c r="J291" i="25"/>
  <c r="I291" i="25"/>
  <c r="H291" i="25"/>
  <c r="G291" i="25"/>
  <c r="F291" i="25"/>
  <c r="P288" i="25"/>
  <c r="B159" i="26"/>
  <c r="B169" i="24"/>
  <c r="N288" i="25"/>
  <c r="O288" i="25"/>
  <c r="J288" i="25"/>
  <c r="I288" i="25"/>
  <c r="H288" i="25"/>
  <c r="G288" i="25"/>
  <c r="F288" i="25"/>
  <c r="Z287" i="25"/>
  <c r="P287" i="25"/>
  <c r="B130" i="26"/>
  <c r="B168" i="24"/>
  <c r="N287" i="25"/>
  <c r="O287" i="25"/>
  <c r="J287" i="25"/>
  <c r="I287" i="25"/>
  <c r="H287" i="25"/>
  <c r="G287" i="25"/>
  <c r="F287" i="25"/>
  <c r="Z286" i="25"/>
  <c r="P286" i="25"/>
  <c r="B135" i="26"/>
  <c r="B167" i="24"/>
  <c r="N286" i="25"/>
  <c r="O286" i="25"/>
  <c r="J286" i="25"/>
  <c r="I286" i="25"/>
  <c r="H286" i="25"/>
  <c r="G286" i="25"/>
  <c r="F286" i="25"/>
  <c r="P285" i="25"/>
  <c r="B189" i="26"/>
  <c r="B166" i="24"/>
  <c r="N285" i="25"/>
  <c r="O285" i="25"/>
  <c r="J285" i="25"/>
  <c r="I285" i="25"/>
  <c r="H285" i="25"/>
  <c r="G285" i="25"/>
  <c r="F285" i="25"/>
  <c r="Z284" i="25"/>
  <c r="P284" i="25"/>
  <c r="B150" i="26"/>
  <c r="B165" i="24"/>
  <c r="N284" i="25"/>
  <c r="O284" i="25"/>
  <c r="J284" i="25"/>
  <c r="I284" i="25"/>
  <c r="H284" i="25"/>
  <c r="G284" i="25"/>
  <c r="F284" i="25"/>
  <c r="Z283" i="25"/>
  <c r="P283" i="25"/>
  <c r="B152" i="26"/>
  <c r="B164" i="24"/>
  <c r="N283" i="25"/>
  <c r="O283" i="25"/>
  <c r="J283" i="25"/>
  <c r="I283" i="25"/>
  <c r="H283" i="25"/>
  <c r="G283" i="25"/>
  <c r="F283" i="25"/>
  <c r="P282" i="25"/>
  <c r="N282" i="25"/>
  <c r="O282" i="25"/>
  <c r="J282" i="25"/>
  <c r="I282" i="25"/>
  <c r="H282" i="25"/>
  <c r="G282" i="25"/>
  <c r="F282" i="25"/>
  <c r="P281" i="25"/>
  <c r="B187" i="26"/>
  <c r="B162" i="24"/>
  <c r="N281" i="25"/>
  <c r="O281" i="25"/>
  <c r="J281" i="25"/>
  <c r="I281" i="25"/>
  <c r="H281" i="25"/>
  <c r="G281" i="25"/>
  <c r="F281" i="25"/>
  <c r="P280" i="25"/>
  <c r="B186" i="26"/>
  <c r="B161" i="24"/>
  <c r="N280" i="25"/>
  <c r="O280" i="25"/>
  <c r="J280" i="25"/>
  <c r="I280" i="25"/>
  <c r="H280" i="25"/>
  <c r="G280" i="25"/>
  <c r="F280" i="25"/>
  <c r="P279" i="25"/>
  <c r="N279" i="25"/>
  <c r="O279" i="25"/>
  <c r="J279" i="25"/>
  <c r="I279" i="25"/>
  <c r="H279" i="25"/>
  <c r="G279" i="25"/>
  <c r="F279" i="25"/>
  <c r="Z278" i="25"/>
  <c r="P278" i="25"/>
  <c r="B184" i="26"/>
  <c r="B159" i="24"/>
  <c r="N278" i="25"/>
  <c r="O278" i="25"/>
  <c r="J278" i="25"/>
  <c r="I278" i="25"/>
  <c r="H278" i="25"/>
  <c r="G278" i="25"/>
  <c r="F278" i="25"/>
  <c r="Z277" i="25"/>
  <c r="P277" i="25"/>
  <c r="B183" i="26"/>
  <c r="B158" i="24"/>
  <c r="N277" i="25"/>
  <c r="O277" i="25"/>
  <c r="J277" i="25"/>
  <c r="I277" i="25"/>
  <c r="H277" i="25"/>
  <c r="G277" i="25"/>
  <c r="F277" i="25"/>
  <c r="P276" i="25"/>
  <c r="B119" i="26"/>
  <c r="B157" i="24"/>
  <c r="N276" i="25"/>
  <c r="O276" i="25"/>
  <c r="J276" i="25"/>
  <c r="I276" i="25"/>
  <c r="H276" i="25"/>
  <c r="G276" i="25"/>
  <c r="F276" i="25"/>
  <c r="Z275" i="25"/>
  <c r="P275" i="25"/>
  <c r="B87" i="26"/>
  <c r="B156" i="24"/>
  <c r="N275" i="25"/>
  <c r="O275" i="25"/>
  <c r="J275" i="25"/>
  <c r="I275" i="25"/>
  <c r="H275" i="25"/>
  <c r="G275" i="25"/>
  <c r="F275" i="25"/>
  <c r="Z274" i="25"/>
  <c r="P274" i="25"/>
  <c r="B83" i="26"/>
  <c r="B155" i="24"/>
  <c r="N274" i="25"/>
  <c r="O274" i="25"/>
  <c r="J274" i="25"/>
  <c r="I274" i="25"/>
  <c r="H274" i="25"/>
  <c r="G274" i="25"/>
  <c r="F274" i="25"/>
  <c r="P273" i="25"/>
  <c r="N273" i="25"/>
  <c r="O273" i="25"/>
  <c r="J273" i="25"/>
  <c r="I273" i="25"/>
  <c r="H273" i="25"/>
  <c r="G273" i="25"/>
  <c r="F273" i="25"/>
  <c r="Z272" i="25"/>
  <c r="P272" i="25"/>
  <c r="B99" i="26"/>
  <c r="B153" i="24"/>
  <c r="N272" i="25"/>
  <c r="O272" i="25"/>
  <c r="J272" i="25"/>
  <c r="I272" i="25"/>
  <c r="H272" i="25"/>
  <c r="G272" i="25"/>
  <c r="F272" i="25"/>
  <c r="Z271" i="25"/>
  <c r="P271" i="25"/>
  <c r="B101" i="26"/>
  <c r="B152" i="24"/>
  <c r="N271" i="25"/>
  <c r="O271" i="25"/>
  <c r="J271" i="25"/>
  <c r="I271" i="25"/>
  <c r="H271" i="25"/>
  <c r="G271" i="25"/>
  <c r="F271" i="25"/>
  <c r="P270" i="25"/>
  <c r="B112" i="26"/>
  <c r="B151" i="24"/>
  <c r="N270" i="25"/>
  <c r="O270" i="25"/>
  <c r="J270" i="25"/>
  <c r="I270" i="25"/>
  <c r="H270" i="25"/>
  <c r="G270" i="25"/>
  <c r="F270" i="25"/>
  <c r="Z269" i="25"/>
  <c r="P269" i="25"/>
  <c r="B84" i="26"/>
  <c r="B150" i="24"/>
  <c r="N269" i="25"/>
  <c r="O269" i="25"/>
  <c r="J269" i="25"/>
  <c r="I269" i="25"/>
  <c r="H269" i="25"/>
  <c r="G269" i="25"/>
  <c r="F269" i="25"/>
  <c r="Z268" i="25"/>
  <c r="P268" i="25"/>
  <c r="B79" i="26"/>
  <c r="B149" i="24"/>
  <c r="N268" i="25"/>
  <c r="O268" i="25"/>
  <c r="J268" i="25"/>
  <c r="I268" i="25"/>
  <c r="H268" i="25"/>
  <c r="G268" i="25"/>
  <c r="F268" i="25"/>
  <c r="P265" i="25"/>
  <c r="B182" i="26"/>
  <c r="B148" i="24"/>
  <c r="N265" i="25"/>
  <c r="O265" i="25"/>
  <c r="J265" i="25"/>
  <c r="I265" i="25"/>
  <c r="H265" i="25"/>
  <c r="G265" i="25"/>
  <c r="F265" i="25"/>
  <c r="P264" i="25"/>
  <c r="B181" i="26"/>
  <c r="B147" i="24"/>
  <c r="N264" i="25"/>
  <c r="O264" i="25"/>
  <c r="J264" i="25"/>
  <c r="I264" i="25"/>
  <c r="H264" i="25"/>
  <c r="G264" i="25"/>
  <c r="F264" i="25"/>
  <c r="Z263" i="25"/>
  <c r="P263" i="25"/>
  <c r="B128" i="26"/>
  <c r="B146" i="24"/>
  <c r="N263" i="25"/>
  <c r="O263" i="25"/>
  <c r="J263" i="25"/>
  <c r="I263" i="25"/>
  <c r="H263" i="25"/>
  <c r="G263" i="25"/>
  <c r="F263" i="25"/>
  <c r="Z262" i="25"/>
  <c r="P262" i="25"/>
  <c r="B163" i="26"/>
  <c r="B145" i="24"/>
  <c r="N262" i="25"/>
  <c r="O262" i="25"/>
  <c r="J262" i="25"/>
  <c r="I262" i="25"/>
  <c r="H262" i="25"/>
  <c r="G262" i="25"/>
  <c r="F262" i="25"/>
  <c r="Z261" i="25"/>
  <c r="P261" i="25"/>
  <c r="B180" i="26"/>
  <c r="B144" i="24"/>
  <c r="N261" i="25"/>
  <c r="O261" i="25"/>
  <c r="J261" i="25"/>
  <c r="I261" i="25"/>
  <c r="H261" i="25"/>
  <c r="G261" i="25"/>
  <c r="F261" i="25"/>
  <c r="P258" i="25"/>
  <c r="B70" i="26"/>
  <c r="B143" i="24"/>
  <c r="N258" i="25"/>
  <c r="O258" i="25"/>
  <c r="J258" i="25"/>
  <c r="I258" i="25"/>
  <c r="H258" i="25"/>
  <c r="G258" i="25"/>
  <c r="F258" i="25"/>
  <c r="Z257" i="25"/>
  <c r="P257" i="25"/>
  <c r="B32" i="26"/>
  <c r="B142" i="24"/>
  <c r="N257" i="25"/>
  <c r="O257" i="25"/>
  <c r="J257" i="25"/>
  <c r="I257" i="25"/>
  <c r="H257" i="25"/>
  <c r="G257" i="25"/>
  <c r="F257" i="25"/>
  <c r="Z256" i="25"/>
  <c r="P256" i="25"/>
  <c r="B37" i="26"/>
  <c r="B141" i="24"/>
  <c r="N256" i="25"/>
  <c r="O256" i="25"/>
  <c r="J256" i="25"/>
  <c r="I256" i="25"/>
  <c r="H256" i="25"/>
  <c r="G256" i="25"/>
  <c r="F256" i="25"/>
  <c r="P255" i="25"/>
  <c r="B85" i="26"/>
  <c r="B140" i="24"/>
  <c r="N255" i="25"/>
  <c r="O255" i="25"/>
  <c r="J255" i="25"/>
  <c r="I255" i="25"/>
  <c r="H255" i="25"/>
  <c r="G255" i="25"/>
  <c r="F255" i="25"/>
  <c r="Z254" i="25"/>
  <c r="P254" i="25"/>
  <c r="B52" i="26"/>
  <c r="B139" i="24"/>
  <c r="N254" i="25"/>
  <c r="O254" i="25"/>
  <c r="J254" i="25"/>
  <c r="I254" i="25"/>
  <c r="H254" i="25"/>
  <c r="G254" i="25"/>
  <c r="F254" i="25"/>
  <c r="Z253" i="25"/>
  <c r="P253" i="25"/>
  <c r="B55" i="26"/>
  <c r="B138" i="24"/>
  <c r="N253" i="25"/>
  <c r="O253" i="25"/>
  <c r="J253" i="25"/>
  <c r="I253" i="25"/>
  <c r="H253" i="25"/>
  <c r="G253" i="25"/>
  <c r="F253" i="25"/>
  <c r="P252" i="25"/>
  <c r="N252" i="25"/>
  <c r="O252" i="25"/>
  <c r="J252" i="25"/>
  <c r="I252" i="25"/>
  <c r="H252" i="25"/>
  <c r="G252" i="25"/>
  <c r="F252" i="25"/>
  <c r="P251" i="25"/>
  <c r="B89" i="26"/>
  <c r="B136" i="24"/>
  <c r="N251" i="25"/>
  <c r="O251" i="25"/>
  <c r="J251" i="25"/>
  <c r="I251" i="25"/>
  <c r="H251" i="25"/>
  <c r="G251" i="25"/>
  <c r="F251" i="25"/>
  <c r="P250" i="25"/>
  <c r="B77" i="26"/>
  <c r="B135" i="24"/>
  <c r="N250" i="25"/>
  <c r="O250" i="25"/>
  <c r="J250" i="25"/>
  <c r="I250" i="25"/>
  <c r="H250" i="25"/>
  <c r="G250" i="25"/>
  <c r="F250" i="25"/>
  <c r="P249" i="25"/>
  <c r="N249" i="25"/>
  <c r="O249" i="25"/>
  <c r="J249" i="25"/>
  <c r="I249" i="25"/>
  <c r="H249" i="25"/>
  <c r="G249" i="25"/>
  <c r="F249" i="25"/>
  <c r="Z248" i="25"/>
  <c r="P248" i="25"/>
  <c r="B110" i="26"/>
  <c r="B133" i="24"/>
  <c r="N248" i="25"/>
  <c r="O248" i="25"/>
  <c r="J248" i="25"/>
  <c r="I248" i="25"/>
  <c r="H248" i="25"/>
  <c r="G248" i="25"/>
  <c r="F248" i="25"/>
  <c r="Z247" i="25"/>
  <c r="P247" i="25"/>
  <c r="B102" i="26"/>
  <c r="B132" i="24"/>
  <c r="N247" i="25"/>
  <c r="O247" i="25"/>
  <c r="J247" i="25"/>
  <c r="I247" i="25"/>
  <c r="H247" i="25"/>
  <c r="G247" i="25"/>
  <c r="F247" i="25"/>
  <c r="P246" i="25"/>
  <c r="B36" i="26"/>
  <c r="B131" i="24"/>
  <c r="N246" i="25"/>
  <c r="O246" i="25"/>
  <c r="J246" i="25"/>
  <c r="I246" i="25"/>
  <c r="H246" i="25"/>
  <c r="G246" i="25"/>
  <c r="F246" i="25"/>
  <c r="Z245" i="25"/>
  <c r="P245" i="25"/>
  <c r="B14" i="26"/>
  <c r="B130" i="24"/>
  <c r="N245" i="25"/>
  <c r="O245" i="25"/>
  <c r="J245" i="25"/>
  <c r="I245" i="25"/>
  <c r="H245" i="25"/>
  <c r="G245" i="25"/>
  <c r="F245" i="25"/>
  <c r="Z244" i="25"/>
  <c r="P244" i="25"/>
  <c r="B12" i="26"/>
  <c r="B129" i="24"/>
  <c r="N244" i="25"/>
  <c r="O244" i="25"/>
  <c r="J244" i="25"/>
  <c r="I244" i="25"/>
  <c r="H244" i="25"/>
  <c r="G244" i="25"/>
  <c r="F244" i="25"/>
  <c r="P243" i="25"/>
  <c r="B48" i="26"/>
  <c r="B128" i="24"/>
  <c r="N243" i="25"/>
  <c r="O243" i="25"/>
  <c r="J243" i="25"/>
  <c r="I243" i="25"/>
  <c r="H243" i="25"/>
  <c r="G243" i="25"/>
  <c r="F243" i="25"/>
  <c r="Z242" i="25"/>
  <c r="P242" i="25"/>
  <c r="B19" i="26"/>
  <c r="B127" i="24"/>
  <c r="N242" i="25"/>
  <c r="O242" i="25"/>
  <c r="J242" i="25"/>
  <c r="I242" i="25"/>
  <c r="H242" i="25"/>
  <c r="G242" i="25"/>
  <c r="F242" i="25"/>
  <c r="Z241" i="25"/>
  <c r="P241" i="25"/>
  <c r="B20" i="26"/>
  <c r="B126" i="24"/>
  <c r="N241" i="25"/>
  <c r="O241" i="25"/>
  <c r="J241" i="25"/>
  <c r="I241" i="25"/>
  <c r="H241" i="25"/>
  <c r="G241" i="25"/>
  <c r="F241" i="25"/>
  <c r="P240" i="25"/>
  <c r="B30" i="26"/>
  <c r="B125" i="24"/>
  <c r="N240" i="25"/>
  <c r="O240" i="25"/>
  <c r="J240" i="25"/>
  <c r="I240" i="25"/>
  <c r="H240" i="25"/>
  <c r="G240" i="25"/>
  <c r="F240" i="25"/>
  <c r="Z239" i="25"/>
  <c r="P239" i="25"/>
  <c r="B11" i="26"/>
  <c r="B124" i="24"/>
  <c r="N239" i="25"/>
  <c r="O239" i="25"/>
  <c r="J239" i="25"/>
  <c r="I239" i="25"/>
  <c r="H239" i="25"/>
  <c r="G239" i="25"/>
  <c r="F239" i="25"/>
  <c r="Z238" i="25"/>
  <c r="P238" i="25"/>
  <c r="B9" i="26"/>
  <c r="B123" i="24"/>
  <c r="N238" i="25"/>
  <c r="O238" i="25"/>
  <c r="J238" i="25"/>
  <c r="I238" i="25"/>
  <c r="H238" i="25"/>
  <c r="G238" i="25"/>
  <c r="F238" i="25"/>
  <c r="P235" i="25"/>
  <c r="B97" i="26"/>
  <c r="B122" i="24"/>
  <c r="N235" i="25"/>
  <c r="O235" i="25"/>
  <c r="J235" i="25"/>
  <c r="I235" i="25"/>
  <c r="H235" i="25"/>
  <c r="G235" i="25"/>
  <c r="F235" i="25"/>
  <c r="P234" i="25"/>
  <c r="B146" i="26"/>
  <c r="B121" i="24"/>
  <c r="N234" i="25"/>
  <c r="O234" i="25"/>
  <c r="J234" i="25"/>
  <c r="I234" i="25"/>
  <c r="H234" i="25"/>
  <c r="G234" i="25"/>
  <c r="F234" i="25"/>
  <c r="Z233" i="25"/>
  <c r="P233" i="25"/>
  <c r="B40" i="26"/>
  <c r="B120" i="24"/>
  <c r="N233" i="25"/>
  <c r="O233" i="25"/>
  <c r="J233" i="25"/>
  <c r="I233" i="25"/>
  <c r="H233" i="25"/>
  <c r="G233" i="25"/>
  <c r="F233" i="25"/>
  <c r="Z232" i="25"/>
  <c r="P232" i="25"/>
  <c r="B75" i="26"/>
  <c r="B119" i="24"/>
  <c r="N232" i="25"/>
  <c r="O232" i="25"/>
  <c r="J232" i="25"/>
  <c r="I232" i="25"/>
  <c r="H232" i="25"/>
  <c r="G232" i="25"/>
  <c r="F232" i="25"/>
  <c r="Z231" i="25"/>
  <c r="P231" i="25"/>
  <c r="B76" i="26"/>
  <c r="B118" i="24"/>
  <c r="N231" i="25"/>
  <c r="O231" i="25"/>
  <c r="J231" i="25"/>
  <c r="I231" i="25"/>
  <c r="H231" i="25"/>
  <c r="G231" i="25"/>
  <c r="F231" i="25"/>
  <c r="Z228" i="25"/>
  <c r="P228" i="25"/>
  <c r="B179" i="26"/>
  <c r="B117" i="24"/>
  <c r="N228" i="25"/>
  <c r="O228" i="25"/>
  <c r="J228" i="25"/>
  <c r="I228" i="25"/>
  <c r="H228" i="25"/>
  <c r="G228" i="25"/>
  <c r="F228" i="25"/>
  <c r="Z227" i="25"/>
  <c r="P227" i="25"/>
  <c r="B140" i="26"/>
  <c r="B116" i="24"/>
  <c r="N227" i="25"/>
  <c r="O227" i="25"/>
  <c r="J227" i="25"/>
  <c r="I227" i="25"/>
  <c r="H227" i="25"/>
  <c r="G227" i="25"/>
  <c r="F227" i="25"/>
  <c r="Z226" i="25"/>
  <c r="P226" i="25"/>
  <c r="B142" i="26"/>
  <c r="B115" i="24"/>
  <c r="N226" i="25"/>
  <c r="O226" i="25"/>
  <c r="J226" i="25"/>
  <c r="I226" i="25"/>
  <c r="H226" i="25"/>
  <c r="G226" i="25"/>
  <c r="F226" i="25"/>
  <c r="P223" i="25"/>
  <c r="B178" i="26"/>
  <c r="B114" i="24"/>
  <c r="N223" i="25"/>
  <c r="O223" i="25"/>
  <c r="J223" i="25"/>
  <c r="I223" i="25"/>
  <c r="H223" i="25"/>
  <c r="G223" i="25"/>
  <c r="F223" i="25"/>
  <c r="P222" i="25"/>
  <c r="B177" i="26"/>
  <c r="B113" i="24"/>
  <c r="N222" i="25"/>
  <c r="O222" i="25"/>
  <c r="J222" i="25"/>
  <c r="I222" i="25"/>
  <c r="H222" i="25"/>
  <c r="G222" i="25"/>
  <c r="F222" i="25"/>
  <c r="Z221" i="25"/>
  <c r="P221" i="25"/>
  <c r="B127" i="26"/>
  <c r="B112" i="24"/>
  <c r="N221" i="25"/>
  <c r="O221" i="25"/>
  <c r="J221" i="25"/>
  <c r="I221" i="25"/>
  <c r="H221" i="25"/>
  <c r="G221" i="25"/>
  <c r="F221" i="25"/>
  <c r="Z220" i="25"/>
  <c r="P220" i="25"/>
  <c r="B162" i="26"/>
  <c r="B111" i="24"/>
  <c r="N220" i="25"/>
  <c r="O220" i="25"/>
  <c r="J220" i="25"/>
  <c r="I220" i="25"/>
  <c r="H220" i="25"/>
  <c r="G220" i="25"/>
  <c r="F220" i="25"/>
  <c r="Z219" i="25"/>
  <c r="P219" i="25"/>
  <c r="B176" i="26"/>
  <c r="B110" i="24"/>
  <c r="N219" i="25"/>
  <c r="O219" i="25"/>
  <c r="J219" i="25"/>
  <c r="I219" i="25"/>
  <c r="H219" i="25"/>
  <c r="G219" i="25"/>
  <c r="F219" i="25"/>
  <c r="P216" i="25"/>
  <c r="B175" i="26"/>
  <c r="B109" i="24"/>
  <c r="N216" i="25"/>
  <c r="O216" i="25"/>
  <c r="J216" i="25"/>
  <c r="I216" i="25"/>
  <c r="H216" i="25"/>
  <c r="G216" i="25"/>
  <c r="F216" i="25"/>
  <c r="P215" i="25"/>
  <c r="B118" i="26"/>
  <c r="B108" i="24"/>
  <c r="N215" i="25"/>
  <c r="O215" i="25"/>
  <c r="J215" i="25"/>
  <c r="I215" i="25"/>
  <c r="H215" i="25"/>
  <c r="G215" i="25"/>
  <c r="F215" i="25"/>
  <c r="Z214" i="25"/>
  <c r="P214" i="25"/>
  <c r="B86" i="26"/>
  <c r="B107" i="24"/>
  <c r="N214" i="25"/>
  <c r="O214" i="25"/>
  <c r="J214" i="25"/>
  <c r="I214" i="25"/>
  <c r="H214" i="25"/>
  <c r="G214" i="25"/>
  <c r="F214" i="25"/>
  <c r="Z213" i="25"/>
  <c r="P213" i="25"/>
  <c r="B82" i="26"/>
  <c r="B106" i="24"/>
  <c r="N213" i="25"/>
  <c r="O213" i="25"/>
  <c r="J213" i="25"/>
  <c r="I213" i="25"/>
  <c r="H213" i="25"/>
  <c r="G213" i="25"/>
  <c r="F213" i="25"/>
  <c r="P212" i="25"/>
  <c r="B144" i="26"/>
  <c r="B105" i="24"/>
  <c r="N212" i="25"/>
  <c r="O212" i="25"/>
  <c r="J212" i="25"/>
  <c r="I212" i="25"/>
  <c r="H212" i="25"/>
  <c r="G212" i="25"/>
  <c r="F212" i="25"/>
  <c r="Z211" i="25"/>
  <c r="P211" i="25"/>
  <c r="B98" i="26"/>
  <c r="B104" i="24"/>
  <c r="N211" i="25"/>
  <c r="O211" i="25"/>
  <c r="J211" i="25"/>
  <c r="I211" i="25"/>
  <c r="H211" i="25"/>
  <c r="G211" i="25"/>
  <c r="F211" i="25"/>
  <c r="Z210" i="25"/>
  <c r="P210" i="25"/>
  <c r="B100" i="26"/>
  <c r="B103" i="24"/>
  <c r="N210" i="25"/>
  <c r="O210" i="25"/>
  <c r="J210" i="25"/>
  <c r="I210" i="25"/>
  <c r="H210" i="25"/>
  <c r="G210" i="25"/>
  <c r="F210" i="25"/>
  <c r="P209" i="25"/>
  <c r="N209" i="25"/>
  <c r="O209" i="25"/>
  <c r="J209" i="25"/>
  <c r="I209" i="25"/>
  <c r="H209" i="25"/>
  <c r="G209" i="25"/>
  <c r="F209" i="25"/>
  <c r="Z208" i="25"/>
  <c r="P208" i="25"/>
  <c r="B139" i="26"/>
  <c r="B101" i="24"/>
  <c r="N208" i="25"/>
  <c r="O208" i="25"/>
  <c r="J208" i="25"/>
  <c r="I208" i="25"/>
  <c r="H208" i="25"/>
  <c r="G208" i="25"/>
  <c r="F208" i="25"/>
  <c r="Z207" i="25"/>
  <c r="P207" i="25"/>
  <c r="B141" i="26"/>
  <c r="B100" i="24"/>
  <c r="N207" i="25"/>
  <c r="O207" i="25"/>
  <c r="J207" i="25"/>
  <c r="I207" i="25"/>
  <c r="H207" i="25"/>
  <c r="G207" i="25"/>
  <c r="F207" i="25"/>
  <c r="P204" i="25"/>
  <c r="B173" i="26"/>
  <c r="B99" i="24"/>
  <c r="N204" i="25"/>
  <c r="O204" i="25"/>
  <c r="J204" i="25"/>
  <c r="I204" i="25"/>
  <c r="H204" i="25"/>
  <c r="G204" i="25"/>
  <c r="F204" i="25"/>
  <c r="P203" i="25"/>
  <c r="B172" i="26"/>
  <c r="B98" i="24"/>
  <c r="N203" i="25"/>
  <c r="O203" i="25"/>
  <c r="J203" i="25"/>
  <c r="I203" i="25"/>
  <c r="H203" i="25"/>
  <c r="G203" i="25"/>
  <c r="F203" i="25"/>
  <c r="Z202" i="25"/>
  <c r="P202" i="25"/>
  <c r="B126" i="26"/>
  <c r="B97" i="24"/>
  <c r="N202" i="25"/>
  <c r="O202" i="25"/>
  <c r="J202" i="25"/>
  <c r="I202" i="25"/>
  <c r="H202" i="25"/>
  <c r="G202" i="25"/>
  <c r="F202" i="25"/>
  <c r="Z201" i="25"/>
  <c r="P201" i="25"/>
  <c r="B161" i="26"/>
  <c r="B96" i="24"/>
  <c r="N201" i="25"/>
  <c r="O201" i="25"/>
  <c r="J201" i="25"/>
  <c r="I201" i="25"/>
  <c r="H201" i="25"/>
  <c r="G201" i="25"/>
  <c r="F201" i="25"/>
  <c r="Z200" i="25"/>
  <c r="P200" i="25"/>
  <c r="B171" i="26"/>
  <c r="B95" i="24"/>
  <c r="N200" i="25"/>
  <c r="O200" i="25"/>
  <c r="J200" i="25"/>
  <c r="I200" i="25"/>
  <c r="H200" i="25"/>
  <c r="G200" i="25"/>
  <c r="F200" i="25"/>
  <c r="P199" i="25"/>
  <c r="B170" i="26"/>
  <c r="B94" i="24"/>
  <c r="N199" i="25"/>
  <c r="O199" i="25"/>
  <c r="J199" i="25"/>
  <c r="I199" i="25"/>
  <c r="H199" i="25"/>
  <c r="G199" i="25"/>
  <c r="F199" i="25"/>
  <c r="P198" i="25"/>
  <c r="N198" i="25"/>
  <c r="O198" i="25"/>
  <c r="J198" i="25"/>
  <c r="I198" i="25"/>
  <c r="H198" i="25"/>
  <c r="G198" i="25"/>
  <c r="F198" i="25"/>
  <c r="Z197" i="25"/>
  <c r="P197" i="25"/>
  <c r="B125" i="26"/>
  <c r="B92" i="24"/>
  <c r="N197" i="25"/>
  <c r="O197" i="25"/>
  <c r="J197" i="25"/>
  <c r="I197" i="25"/>
  <c r="H197" i="25"/>
  <c r="G197" i="25"/>
  <c r="F197" i="25"/>
  <c r="Z196" i="25"/>
  <c r="P196" i="25"/>
  <c r="B160" i="26"/>
  <c r="B91" i="24"/>
  <c r="N196" i="25"/>
  <c r="O196" i="25"/>
  <c r="J196" i="25"/>
  <c r="I196" i="25"/>
  <c r="H196" i="25"/>
  <c r="G196" i="25"/>
  <c r="F196" i="25"/>
  <c r="Z195" i="25"/>
  <c r="P195" i="25"/>
  <c r="B168" i="26"/>
  <c r="B90" i="24"/>
  <c r="N195" i="25"/>
  <c r="O195" i="25"/>
  <c r="J195" i="25"/>
  <c r="I195" i="25"/>
  <c r="H195" i="25"/>
  <c r="G195" i="25"/>
  <c r="F195" i="25"/>
  <c r="P192" i="25"/>
  <c r="B153" i="26"/>
  <c r="B89" i="24"/>
  <c r="N192" i="25"/>
  <c r="O192" i="25"/>
  <c r="J192" i="25"/>
  <c r="I192" i="25"/>
  <c r="H192" i="25"/>
  <c r="G192" i="25"/>
  <c r="F192" i="25"/>
  <c r="Z191" i="25"/>
  <c r="P191" i="25"/>
  <c r="B154" i="26"/>
  <c r="B88" i="24"/>
  <c r="N191" i="25"/>
  <c r="O191" i="25"/>
  <c r="J191" i="25"/>
  <c r="I191" i="25"/>
  <c r="H191" i="25"/>
  <c r="G191" i="25"/>
  <c r="F191" i="25"/>
  <c r="Z190" i="25"/>
  <c r="P190" i="25"/>
  <c r="B69" i="26"/>
  <c r="B87" i="24"/>
  <c r="N190" i="25"/>
  <c r="O190" i="25"/>
  <c r="J190" i="25"/>
  <c r="I190" i="25"/>
  <c r="H190" i="25"/>
  <c r="G190" i="25"/>
  <c r="F190" i="25"/>
  <c r="P187" i="25"/>
  <c r="B193" i="26"/>
  <c r="B86" i="24"/>
  <c r="N187" i="25"/>
  <c r="O187" i="25"/>
  <c r="J187" i="25"/>
  <c r="I187" i="25"/>
  <c r="H187" i="25"/>
  <c r="G187" i="25"/>
  <c r="F187" i="25"/>
  <c r="P186" i="25"/>
  <c r="B94" i="26"/>
  <c r="B85" i="24"/>
  <c r="N186" i="25"/>
  <c r="O186" i="25"/>
  <c r="J186" i="25"/>
  <c r="I186" i="25"/>
  <c r="H186" i="25"/>
  <c r="G186" i="25"/>
  <c r="F186" i="25"/>
  <c r="P185" i="25"/>
  <c r="B95" i="26"/>
  <c r="B84" i="24"/>
  <c r="N185" i="25"/>
  <c r="O185" i="25"/>
  <c r="J185" i="25"/>
  <c r="I185" i="25"/>
  <c r="H185" i="25"/>
  <c r="G185" i="25"/>
  <c r="F185" i="25"/>
  <c r="P184" i="25"/>
  <c r="B108" i="26"/>
  <c r="B83" i="24"/>
  <c r="N184" i="25"/>
  <c r="O184" i="25"/>
  <c r="J184" i="25"/>
  <c r="I184" i="25"/>
  <c r="H184" i="25"/>
  <c r="G184" i="25"/>
  <c r="F184" i="25"/>
  <c r="P183" i="25"/>
  <c r="B27" i="26"/>
  <c r="B82" i="24"/>
  <c r="N183" i="25"/>
  <c r="O183" i="25"/>
  <c r="J183" i="25"/>
  <c r="I183" i="25"/>
  <c r="H183" i="25"/>
  <c r="G183" i="25"/>
  <c r="F183" i="25"/>
  <c r="P182" i="25"/>
  <c r="B93" i="26"/>
  <c r="B81" i="24"/>
  <c r="N182" i="25"/>
  <c r="O182" i="25"/>
  <c r="J182" i="25"/>
  <c r="I182" i="25"/>
  <c r="H182" i="25"/>
  <c r="G182" i="25"/>
  <c r="F182" i="25"/>
  <c r="P181" i="25"/>
  <c r="B116" i="26"/>
  <c r="B80" i="24"/>
  <c r="N181" i="25"/>
  <c r="O181" i="25"/>
  <c r="J181" i="25"/>
  <c r="I181" i="25"/>
  <c r="H181" i="25"/>
  <c r="G181" i="25"/>
  <c r="F181" i="25"/>
  <c r="P180" i="25"/>
  <c r="B111" i="26"/>
  <c r="B79" i="24"/>
  <c r="N180" i="25"/>
  <c r="O180" i="25"/>
  <c r="J180" i="25"/>
  <c r="I180" i="25"/>
  <c r="H180" i="25"/>
  <c r="G180" i="25"/>
  <c r="F180" i="25"/>
  <c r="P179" i="25"/>
  <c r="B121" i="26"/>
  <c r="B78" i="24"/>
  <c r="N179" i="25"/>
  <c r="O179" i="25"/>
  <c r="J179" i="25"/>
  <c r="I179" i="25"/>
  <c r="H179" i="25"/>
  <c r="G179" i="25"/>
  <c r="F179" i="25"/>
  <c r="P178" i="25"/>
  <c r="B148" i="26"/>
  <c r="B77" i="24"/>
  <c r="N178" i="25"/>
  <c r="O178" i="25"/>
  <c r="J178" i="25"/>
  <c r="I178" i="25"/>
  <c r="H178" i="25"/>
  <c r="G178" i="25"/>
  <c r="F178" i="25"/>
  <c r="P177" i="25"/>
  <c r="B71" i="26"/>
  <c r="B76" i="24"/>
  <c r="N177" i="25"/>
  <c r="O177" i="25"/>
  <c r="J177" i="25"/>
  <c r="I177" i="25"/>
  <c r="H177" i="25"/>
  <c r="G177" i="25"/>
  <c r="F177" i="25"/>
  <c r="P176" i="25"/>
  <c r="B58" i="26"/>
  <c r="B75" i="24"/>
  <c r="N176" i="25"/>
  <c r="O176" i="25"/>
  <c r="J176" i="25"/>
  <c r="I176" i="25"/>
  <c r="H176" i="25"/>
  <c r="G176" i="25"/>
  <c r="F176" i="25"/>
  <c r="P175" i="25"/>
  <c r="B50" i="26"/>
  <c r="B74" i="24"/>
  <c r="N175" i="25"/>
  <c r="O175" i="25"/>
  <c r="J175" i="25"/>
  <c r="I175" i="25"/>
  <c r="H175" i="25"/>
  <c r="G175" i="25"/>
  <c r="F175" i="25"/>
  <c r="P174" i="25"/>
  <c r="B44" i="26"/>
  <c r="B73" i="24"/>
  <c r="N174" i="25"/>
  <c r="O174" i="25"/>
  <c r="J174" i="25"/>
  <c r="I174" i="25"/>
  <c r="H174" i="25"/>
  <c r="G174" i="25"/>
  <c r="F174" i="25"/>
  <c r="Z171" i="25"/>
  <c r="P171" i="25"/>
  <c r="B167" i="26"/>
  <c r="B72" i="24"/>
  <c r="N171" i="25"/>
  <c r="O171" i="25"/>
  <c r="J171" i="25"/>
  <c r="I171" i="25"/>
  <c r="H171" i="25"/>
  <c r="G171" i="25"/>
  <c r="F171" i="25"/>
  <c r="Z170" i="25"/>
  <c r="P170" i="25"/>
  <c r="B155" i="26"/>
  <c r="B71" i="24"/>
  <c r="N170" i="25"/>
  <c r="O170" i="25"/>
  <c r="J170" i="25"/>
  <c r="I170" i="25"/>
  <c r="H170" i="25"/>
  <c r="G170" i="25"/>
  <c r="F170" i="25"/>
  <c r="Z169" i="25"/>
  <c r="P169" i="25"/>
  <c r="B129" i="26"/>
  <c r="B70" i="24"/>
  <c r="N169" i="25"/>
  <c r="O169" i="25"/>
  <c r="J169" i="25"/>
  <c r="I169" i="25"/>
  <c r="H169" i="25"/>
  <c r="G169" i="25"/>
  <c r="F169" i="25"/>
  <c r="Z168" i="25"/>
  <c r="P168" i="25"/>
  <c r="B91" i="26"/>
  <c r="B69" i="24"/>
  <c r="N168" i="25"/>
  <c r="O168" i="25"/>
  <c r="J168" i="25"/>
  <c r="I168" i="25"/>
  <c r="H168" i="25"/>
  <c r="G168" i="25"/>
  <c r="F168" i="25"/>
  <c r="Z167" i="25"/>
  <c r="P167" i="25"/>
  <c r="B63" i="26"/>
  <c r="B68" i="24"/>
  <c r="N167" i="25"/>
  <c r="O167" i="25"/>
  <c r="J167" i="25"/>
  <c r="I167" i="25"/>
  <c r="H167" i="25"/>
  <c r="G167" i="25"/>
  <c r="F167" i="25"/>
  <c r="Z166" i="25"/>
  <c r="P166" i="25"/>
  <c r="B166" i="26"/>
  <c r="B67" i="24"/>
  <c r="N166" i="25"/>
  <c r="O166" i="25"/>
  <c r="J166" i="25"/>
  <c r="I166" i="25"/>
  <c r="H166" i="25"/>
  <c r="G166" i="25"/>
  <c r="F166" i="25"/>
  <c r="Z165" i="25"/>
  <c r="P165" i="25"/>
  <c r="B165" i="26"/>
  <c r="B66" i="24"/>
  <c r="N165" i="25"/>
  <c r="O165" i="25"/>
  <c r="J165" i="25"/>
  <c r="I165" i="25"/>
  <c r="H165" i="25"/>
  <c r="G165" i="25"/>
  <c r="F165" i="25"/>
  <c r="Z164" i="25"/>
  <c r="P164" i="25"/>
  <c r="B164" i="26"/>
  <c r="B65" i="24"/>
  <c r="N164" i="25"/>
  <c r="O164" i="25"/>
  <c r="J164" i="25"/>
  <c r="I164" i="25"/>
  <c r="H164" i="25"/>
  <c r="G164" i="25"/>
  <c r="F164" i="25"/>
  <c r="Z163" i="25"/>
  <c r="P163" i="25"/>
  <c r="B131" i="26"/>
  <c r="B64" i="24"/>
  <c r="N163" i="25"/>
  <c r="O163" i="25"/>
  <c r="J163" i="25"/>
  <c r="I163" i="25"/>
  <c r="H163" i="25"/>
  <c r="G163" i="25"/>
  <c r="F163" i="25"/>
  <c r="Z162" i="25"/>
  <c r="P162" i="25"/>
  <c r="B80" i="26"/>
  <c r="B63" i="24"/>
  <c r="N162" i="25"/>
  <c r="O162" i="25"/>
  <c r="J162" i="25"/>
  <c r="I162" i="25"/>
  <c r="H162" i="25"/>
  <c r="G162" i="25"/>
  <c r="F162" i="25"/>
  <c r="Z161" i="25"/>
  <c r="P161" i="25"/>
  <c r="B143" i="26"/>
  <c r="B62" i="24"/>
  <c r="N161" i="25"/>
  <c r="O161" i="25"/>
  <c r="J161" i="25"/>
  <c r="I161" i="25"/>
  <c r="H161" i="25"/>
  <c r="G161" i="25"/>
  <c r="F161" i="25"/>
  <c r="Z160" i="25"/>
  <c r="P160" i="25"/>
  <c r="B104" i="26"/>
  <c r="B61" i="24"/>
  <c r="N160" i="25"/>
  <c r="O160" i="25"/>
  <c r="J160" i="25"/>
  <c r="I160" i="25"/>
  <c r="H160" i="25"/>
  <c r="G160" i="25"/>
  <c r="F160" i="25"/>
  <c r="Z159" i="25"/>
  <c r="P159" i="25"/>
  <c r="B78" i="26"/>
  <c r="B60" i="24"/>
  <c r="N159" i="25"/>
  <c r="O159" i="25"/>
  <c r="J159" i="25"/>
  <c r="I159" i="25"/>
  <c r="H159" i="25"/>
  <c r="G159" i="25"/>
  <c r="F159" i="25"/>
  <c r="Z158" i="25"/>
  <c r="P158" i="25"/>
  <c r="B51" i="26"/>
  <c r="B59" i="24"/>
  <c r="N158" i="25"/>
  <c r="O158" i="25"/>
  <c r="J158" i="25"/>
  <c r="I158" i="25"/>
  <c r="H158" i="25"/>
  <c r="G158" i="25"/>
  <c r="F158" i="25"/>
  <c r="Z157" i="25"/>
  <c r="P157" i="25"/>
  <c r="B22" i="26"/>
  <c r="B58" i="24"/>
  <c r="N157" i="25"/>
  <c r="O157" i="25"/>
  <c r="J157" i="25"/>
  <c r="I157" i="25"/>
  <c r="H157" i="25"/>
  <c r="G157" i="25"/>
  <c r="F157" i="25"/>
  <c r="P154" i="25"/>
  <c r="B134" i="26"/>
  <c r="B57" i="24"/>
  <c r="N154" i="25"/>
  <c r="O154" i="25"/>
  <c r="J154" i="25"/>
  <c r="I154" i="25"/>
  <c r="H154" i="25"/>
  <c r="G154" i="25"/>
  <c r="F154" i="25"/>
  <c r="P153" i="25"/>
  <c r="B208" i="26"/>
  <c r="B56" i="24"/>
  <c r="N153" i="25"/>
  <c r="O153" i="25"/>
  <c r="J153" i="25"/>
  <c r="I153" i="25"/>
  <c r="H153" i="25"/>
  <c r="G153" i="25"/>
  <c r="F153" i="25"/>
  <c r="P150" i="25"/>
  <c r="B203" i="26"/>
  <c r="B55" i="24"/>
  <c r="N150" i="25"/>
  <c r="O150" i="25"/>
  <c r="J150" i="25"/>
  <c r="I150" i="25"/>
  <c r="H150" i="25"/>
  <c r="G150" i="25"/>
  <c r="F150" i="25"/>
  <c r="P149" i="25"/>
  <c r="B220" i="26"/>
  <c r="B54" i="24"/>
  <c r="N149" i="25"/>
  <c r="O149" i="25"/>
  <c r="J149" i="25"/>
  <c r="I149" i="25"/>
  <c r="H149" i="25"/>
  <c r="G149" i="25"/>
  <c r="F149" i="25"/>
  <c r="P148" i="25"/>
  <c r="B202" i="26"/>
  <c r="B53" i="24"/>
  <c r="N148" i="25"/>
  <c r="O148" i="25"/>
  <c r="J148" i="25"/>
  <c r="I148" i="25"/>
  <c r="H148" i="25"/>
  <c r="G148" i="25"/>
  <c r="F148" i="25"/>
  <c r="P147" i="25"/>
  <c r="B213" i="26"/>
  <c r="B52" i="24"/>
  <c r="N147" i="25"/>
  <c r="O147" i="25"/>
  <c r="J147" i="25"/>
  <c r="I147" i="25"/>
  <c r="H147" i="25"/>
  <c r="G147" i="25"/>
  <c r="F147" i="25"/>
  <c r="Z144" i="25"/>
  <c r="P144" i="25"/>
  <c r="B16" i="26"/>
  <c r="B51" i="24"/>
  <c r="N144" i="25"/>
  <c r="O144" i="25"/>
  <c r="J144" i="25"/>
  <c r="I144" i="25"/>
  <c r="H144" i="25"/>
  <c r="G144" i="25"/>
  <c r="F144" i="25"/>
  <c r="P143" i="25"/>
  <c r="B92" i="26"/>
  <c r="B50" i="24"/>
  <c r="N143" i="25"/>
  <c r="O143" i="25"/>
  <c r="J143" i="25"/>
  <c r="I143" i="25"/>
  <c r="H143" i="25"/>
  <c r="G143" i="25"/>
  <c r="F143" i="25"/>
  <c r="P142" i="25"/>
  <c r="B198" i="26"/>
  <c r="B49" i="24"/>
  <c r="N142" i="25"/>
  <c r="O142" i="25"/>
  <c r="J142" i="25"/>
  <c r="I142" i="25"/>
  <c r="H142" i="25"/>
  <c r="G142" i="25"/>
  <c r="F142" i="25"/>
  <c r="P141" i="25"/>
  <c r="B204" i="26"/>
  <c r="B48" i="24"/>
  <c r="N141" i="25"/>
  <c r="O141" i="25"/>
  <c r="J141" i="25"/>
  <c r="I141" i="25"/>
  <c r="H141" i="25"/>
  <c r="G141" i="25"/>
  <c r="F141" i="25"/>
  <c r="Z140" i="25"/>
  <c r="P140" i="25"/>
  <c r="B34" i="26"/>
  <c r="B47" i="24"/>
  <c r="N140" i="25"/>
  <c r="O140" i="25"/>
  <c r="J140" i="25"/>
  <c r="I140" i="25"/>
  <c r="H140" i="25"/>
  <c r="G140" i="25"/>
  <c r="F140" i="25"/>
  <c r="Z139" i="25"/>
  <c r="P139" i="25"/>
  <c r="B39" i="26"/>
  <c r="B46" i="24"/>
  <c r="N139" i="25"/>
  <c r="O139" i="25"/>
  <c r="J139" i="25"/>
  <c r="I139" i="25"/>
  <c r="H139" i="25"/>
  <c r="G139" i="25"/>
  <c r="F139" i="25"/>
  <c r="Z138" i="25"/>
  <c r="P138" i="25"/>
  <c r="B61" i="26"/>
  <c r="B45" i="24"/>
  <c r="N138" i="25"/>
  <c r="O138" i="25"/>
  <c r="J138" i="25"/>
  <c r="I138" i="25"/>
  <c r="H138" i="25"/>
  <c r="G138" i="25"/>
  <c r="F138" i="25"/>
  <c r="Z137" i="25"/>
  <c r="P137" i="25"/>
  <c r="B33" i="26"/>
  <c r="B44" i="24"/>
  <c r="N137" i="25"/>
  <c r="O137" i="25"/>
  <c r="J137" i="25"/>
  <c r="I137" i="25"/>
  <c r="H137" i="25"/>
  <c r="G137" i="25"/>
  <c r="F137" i="25"/>
  <c r="Z136" i="25"/>
  <c r="P136" i="25"/>
  <c r="B38" i="26"/>
  <c r="B43" i="24"/>
  <c r="N136" i="25"/>
  <c r="O136" i="25"/>
  <c r="J136" i="25"/>
  <c r="I136" i="25"/>
  <c r="H136" i="25"/>
  <c r="G136" i="25"/>
  <c r="F136" i="25"/>
  <c r="Z135" i="25"/>
  <c r="P135" i="25"/>
  <c r="B60" i="26"/>
  <c r="B42" i="24"/>
  <c r="N135" i="25"/>
  <c r="O135" i="25"/>
  <c r="J135" i="25"/>
  <c r="I135" i="25"/>
  <c r="H135" i="25"/>
  <c r="G135" i="25"/>
  <c r="F135" i="25"/>
  <c r="P131" i="25"/>
  <c r="B38" i="24"/>
  <c r="N131" i="25"/>
  <c r="O131" i="25"/>
  <c r="J131" i="25"/>
  <c r="I131" i="25"/>
  <c r="H131" i="25"/>
  <c r="G131" i="25"/>
  <c r="F131" i="25"/>
  <c r="P130" i="25"/>
  <c r="B37" i="24"/>
  <c r="N130" i="25"/>
  <c r="O130" i="25"/>
  <c r="J130" i="25"/>
  <c r="I130" i="25"/>
  <c r="H130" i="25"/>
  <c r="G130" i="25"/>
  <c r="F130" i="25"/>
  <c r="P127" i="25"/>
  <c r="B4" i="26"/>
  <c r="B36" i="24"/>
  <c r="N127" i="25"/>
  <c r="O127" i="25"/>
  <c r="J127" i="25"/>
  <c r="I127" i="25"/>
  <c r="H127" i="25"/>
  <c r="G127" i="25"/>
  <c r="F127" i="25"/>
  <c r="P126" i="25"/>
  <c r="B45" i="26"/>
  <c r="B35" i="24"/>
  <c r="N126" i="25"/>
  <c r="O126" i="25"/>
  <c r="J126" i="25"/>
  <c r="I126" i="25"/>
  <c r="H126" i="25"/>
  <c r="G126" i="25"/>
  <c r="F126" i="25"/>
  <c r="P125" i="25"/>
  <c r="B5" i="26"/>
  <c r="B34" i="24"/>
  <c r="N125" i="25"/>
  <c r="O125" i="25"/>
  <c r="J125" i="25"/>
  <c r="I125" i="25"/>
  <c r="H125" i="25"/>
  <c r="G125" i="25"/>
  <c r="F125" i="25"/>
  <c r="P124" i="25"/>
  <c r="B151" i="26"/>
  <c r="B33" i="24"/>
  <c r="N124" i="25"/>
  <c r="O124" i="25"/>
  <c r="J124" i="25"/>
  <c r="I124" i="25"/>
  <c r="H124" i="25"/>
  <c r="G124" i="25"/>
  <c r="F124" i="25"/>
  <c r="P123" i="25"/>
  <c r="B107" i="26"/>
  <c r="B32" i="24"/>
  <c r="N123" i="25"/>
  <c r="O123" i="25"/>
  <c r="J123" i="25"/>
  <c r="I123" i="25"/>
  <c r="H123" i="25"/>
  <c r="G123" i="25"/>
  <c r="F123" i="25"/>
  <c r="Z122" i="25"/>
  <c r="P122" i="25"/>
  <c r="B88" i="26"/>
  <c r="B31" i="24"/>
  <c r="N122" i="25"/>
  <c r="O122" i="25"/>
  <c r="J122" i="25"/>
  <c r="I122" i="25"/>
  <c r="H122" i="25"/>
  <c r="G122" i="25"/>
  <c r="F122" i="25"/>
  <c r="P121" i="25"/>
  <c r="B201" i="26"/>
  <c r="B30" i="24"/>
  <c r="N121" i="25"/>
  <c r="O121" i="25"/>
  <c r="J121" i="25"/>
  <c r="I121" i="25"/>
  <c r="H121" i="25"/>
  <c r="G121" i="25"/>
  <c r="F121" i="25"/>
  <c r="P120" i="25"/>
  <c r="B215" i="26"/>
  <c r="B29" i="24"/>
  <c r="N120" i="25"/>
  <c r="O120" i="25"/>
  <c r="J120" i="25"/>
  <c r="I120" i="25"/>
  <c r="H120" i="25"/>
  <c r="G120" i="25"/>
  <c r="F120" i="25"/>
  <c r="Z117" i="25"/>
  <c r="P117" i="25"/>
  <c r="B210" i="26"/>
  <c r="B28" i="24"/>
  <c r="N117" i="25"/>
  <c r="O117" i="25"/>
  <c r="J117" i="25"/>
  <c r="I117" i="25"/>
  <c r="H117" i="25"/>
  <c r="G117" i="25"/>
  <c r="F117" i="25"/>
  <c r="Z116" i="25"/>
  <c r="P116" i="25"/>
  <c r="B196" i="26"/>
  <c r="B27" i="24"/>
  <c r="N116" i="25"/>
  <c r="O116" i="25"/>
  <c r="J116" i="25"/>
  <c r="I116" i="25"/>
  <c r="H116" i="25"/>
  <c r="G116" i="25"/>
  <c r="F116" i="25"/>
  <c r="Z115" i="25"/>
  <c r="P115" i="25"/>
  <c r="B13" i="26"/>
  <c r="B26" i="24"/>
  <c r="N115" i="25"/>
  <c r="O115" i="25"/>
  <c r="J115" i="25"/>
  <c r="I115" i="25"/>
  <c r="H115" i="25"/>
  <c r="G115" i="25"/>
  <c r="F115" i="25"/>
  <c r="Z114" i="25"/>
  <c r="P114" i="25"/>
  <c r="B216" i="26"/>
  <c r="B25" i="24"/>
  <c r="N114" i="25"/>
  <c r="O114" i="25"/>
  <c r="J114" i="25"/>
  <c r="I114" i="25"/>
  <c r="H114" i="25"/>
  <c r="G114" i="25"/>
  <c r="F114" i="25"/>
  <c r="Z113" i="25"/>
  <c r="P113" i="25"/>
  <c r="B66" i="26"/>
  <c r="B24" i="24"/>
  <c r="N113" i="25"/>
  <c r="O113" i="25"/>
  <c r="J113" i="25"/>
  <c r="I113" i="25"/>
  <c r="H113" i="25"/>
  <c r="G113" i="25"/>
  <c r="F113" i="25"/>
  <c r="Z112" i="25"/>
  <c r="P112" i="25"/>
  <c r="B47" i="26"/>
  <c r="B23" i="24"/>
  <c r="N112" i="25"/>
  <c r="O112" i="25"/>
  <c r="J112" i="25"/>
  <c r="I112" i="25"/>
  <c r="H112" i="25"/>
  <c r="G112" i="25"/>
  <c r="F112" i="25"/>
  <c r="Z111" i="25"/>
  <c r="P111" i="25"/>
  <c r="B137" i="26"/>
  <c r="B22" i="24"/>
  <c r="N111" i="25"/>
  <c r="O111" i="25"/>
  <c r="J111" i="25"/>
  <c r="I111" i="25"/>
  <c r="H111" i="25"/>
  <c r="G111" i="25"/>
  <c r="F111" i="25"/>
  <c r="P110" i="25"/>
  <c r="B149" i="26"/>
  <c r="B21" i="24"/>
  <c r="N110" i="25"/>
  <c r="O110" i="25"/>
  <c r="J110" i="25"/>
  <c r="I110" i="25"/>
  <c r="H110" i="25"/>
  <c r="G110" i="25"/>
  <c r="F110" i="25"/>
  <c r="Z109" i="25"/>
  <c r="P109" i="25"/>
  <c r="B207" i="26"/>
  <c r="B20" i="24"/>
  <c r="N109" i="25"/>
  <c r="O109" i="25"/>
  <c r="J109" i="25"/>
  <c r="I109" i="25"/>
  <c r="H109" i="25"/>
  <c r="G109" i="25"/>
  <c r="F109" i="25"/>
  <c r="Z108" i="25"/>
  <c r="P108" i="25"/>
  <c r="B105" i="26"/>
  <c r="B19" i="24"/>
  <c r="N108" i="25"/>
  <c r="O108" i="25"/>
  <c r="J108" i="25"/>
  <c r="I108" i="25"/>
  <c r="H108" i="25"/>
  <c r="G108" i="25"/>
  <c r="F108" i="25"/>
  <c r="Z107" i="25"/>
  <c r="P107" i="25"/>
  <c r="B81" i="26"/>
  <c r="B18" i="24"/>
  <c r="N107" i="25"/>
  <c r="O107" i="25"/>
  <c r="J107" i="25"/>
  <c r="I107" i="25"/>
  <c r="H107" i="25"/>
  <c r="G107" i="25"/>
  <c r="F107" i="25"/>
  <c r="Z106" i="25"/>
  <c r="P106" i="25"/>
  <c r="B157" i="26"/>
  <c r="B17" i="24"/>
  <c r="N106" i="25"/>
  <c r="O106" i="25"/>
  <c r="J106" i="25"/>
  <c r="I106" i="25"/>
  <c r="H106" i="25"/>
  <c r="G106" i="25"/>
  <c r="F106" i="25"/>
  <c r="Z103" i="25"/>
  <c r="P103" i="25"/>
  <c r="B211" i="26"/>
  <c r="B16" i="24"/>
  <c r="N103" i="25"/>
  <c r="O103" i="25"/>
  <c r="J103" i="25"/>
  <c r="I103" i="25"/>
  <c r="H103" i="25"/>
  <c r="G103" i="25"/>
  <c r="F103" i="25"/>
  <c r="P102" i="25"/>
  <c r="B41" i="26"/>
  <c r="B15" i="24"/>
  <c r="N102" i="25"/>
  <c r="O102" i="25"/>
  <c r="J102" i="25"/>
  <c r="I102" i="25"/>
  <c r="H102" i="25"/>
  <c r="G102" i="25"/>
  <c r="F102" i="25"/>
  <c r="Z101" i="25"/>
  <c r="P101" i="25"/>
  <c r="B103" i="26"/>
  <c r="B14" i="24"/>
  <c r="N101" i="25"/>
  <c r="O101" i="25"/>
  <c r="J101" i="25"/>
  <c r="I101" i="25"/>
  <c r="H101" i="25"/>
  <c r="G101" i="25"/>
  <c r="F101" i="25"/>
  <c r="P100" i="25"/>
  <c r="B120" i="26"/>
  <c r="B13" i="24"/>
  <c r="N100" i="25"/>
  <c r="O100" i="25"/>
  <c r="J100" i="25"/>
  <c r="I100" i="25"/>
  <c r="H100" i="25"/>
  <c r="G100" i="25"/>
  <c r="F100" i="25"/>
  <c r="Z99" i="25"/>
  <c r="P99" i="25"/>
  <c r="B197" i="26"/>
  <c r="B12" i="24"/>
  <c r="N99" i="25"/>
  <c r="O99" i="25"/>
  <c r="J99" i="25"/>
  <c r="I99" i="25"/>
  <c r="H99" i="25"/>
  <c r="G99" i="25"/>
  <c r="F99" i="25"/>
  <c r="Z98" i="25"/>
  <c r="P98" i="25"/>
  <c r="B72" i="26"/>
  <c r="B11" i="24"/>
  <c r="N98" i="25"/>
  <c r="O98" i="25"/>
  <c r="J98" i="25"/>
  <c r="I98" i="25"/>
  <c r="H98" i="25"/>
  <c r="G98" i="25"/>
  <c r="F98" i="25"/>
  <c r="Z97" i="25"/>
  <c r="P97" i="25"/>
  <c r="B124" i="26"/>
  <c r="B10" i="24"/>
  <c r="N97" i="25"/>
  <c r="O97" i="25"/>
  <c r="J97" i="25"/>
  <c r="I97" i="25"/>
  <c r="H97" i="25"/>
  <c r="G97" i="25"/>
  <c r="F97" i="25"/>
  <c r="Z94" i="25"/>
  <c r="P94" i="25"/>
  <c r="B192" i="26"/>
  <c r="B9" i="24"/>
  <c r="N94" i="25"/>
  <c r="O94" i="25"/>
  <c r="J94" i="25"/>
  <c r="I94" i="25"/>
  <c r="H94" i="25"/>
  <c r="G94" i="25"/>
  <c r="F94" i="25"/>
  <c r="Z93" i="25"/>
  <c r="P93" i="25"/>
  <c r="B29" i="26"/>
  <c r="B8" i="24"/>
  <c r="N93" i="25"/>
  <c r="O93" i="25"/>
  <c r="J93" i="25"/>
  <c r="I93" i="25"/>
  <c r="H93" i="25"/>
  <c r="G93" i="25"/>
  <c r="F93" i="25"/>
  <c r="Z92" i="25"/>
  <c r="P92" i="25"/>
  <c r="B115" i="26"/>
  <c r="B7" i="24"/>
  <c r="N92" i="25"/>
  <c r="O92" i="25"/>
  <c r="J92" i="25"/>
  <c r="I92" i="25"/>
  <c r="H92" i="25"/>
  <c r="G92" i="25"/>
  <c r="F92" i="25"/>
  <c r="P91" i="25"/>
  <c r="B133" i="26"/>
  <c r="B6" i="24"/>
  <c r="N91" i="25"/>
  <c r="O91" i="25"/>
  <c r="J91" i="25"/>
  <c r="I91" i="25"/>
  <c r="H91" i="25"/>
  <c r="G91" i="25"/>
  <c r="F91" i="25"/>
  <c r="Z90" i="25"/>
  <c r="P90" i="25"/>
  <c r="B191" i="26"/>
  <c r="B5" i="24"/>
  <c r="N90" i="25"/>
  <c r="O90" i="25"/>
  <c r="J90" i="25"/>
  <c r="I90" i="25"/>
  <c r="H90" i="25"/>
  <c r="G90" i="25"/>
  <c r="F90" i="25"/>
  <c r="Z89" i="25"/>
  <c r="P89" i="25"/>
  <c r="B56" i="26"/>
  <c r="B4" i="24"/>
  <c r="N89" i="25"/>
  <c r="O89" i="25"/>
  <c r="J89" i="25"/>
  <c r="I89" i="25"/>
  <c r="H89" i="25"/>
  <c r="G89" i="25"/>
  <c r="F89" i="25"/>
  <c r="Z88" i="25"/>
  <c r="P88" i="25"/>
  <c r="B106" i="26"/>
  <c r="B3" i="24"/>
  <c r="N88" i="25"/>
  <c r="O88" i="25"/>
  <c r="J88" i="25"/>
  <c r="I88" i="25"/>
  <c r="H88" i="25"/>
  <c r="G88" i="25"/>
  <c r="F88" i="25"/>
  <c r="B58" i="25"/>
  <c r="A58" i="25"/>
  <c r="G57" i="25"/>
  <c r="F57" i="25"/>
  <c r="E57" i="25"/>
  <c r="D57" i="25"/>
  <c r="C57" i="25"/>
  <c r="B57" i="25"/>
  <c r="A57" i="25"/>
  <c r="J56" i="25"/>
  <c r="I56" i="25"/>
  <c r="H56" i="25"/>
  <c r="G56" i="25"/>
  <c r="F56" i="25"/>
  <c r="E56" i="25"/>
  <c r="D56" i="25"/>
  <c r="C56" i="25"/>
  <c r="B56" i="25"/>
  <c r="A56" i="25"/>
  <c r="V55" i="25"/>
  <c r="U55" i="25"/>
  <c r="T55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A55" i="25"/>
  <c r="F54" i="25"/>
  <c r="E54" i="25"/>
  <c r="D54" i="25"/>
  <c r="C54" i="25"/>
  <c r="B54" i="25"/>
  <c r="A54" i="25"/>
  <c r="V53" i="25"/>
  <c r="U53" i="25"/>
  <c r="T53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A53" i="25"/>
  <c r="F52" i="25"/>
  <c r="E52" i="25"/>
  <c r="D52" i="25"/>
  <c r="C52" i="25"/>
  <c r="B52" i="25"/>
  <c r="A52" i="25"/>
  <c r="D51" i="25"/>
  <c r="C51" i="25"/>
  <c r="B51" i="25"/>
  <c r="A51" i="25"/>
  <c r="F50" i="25"/>
  <c r="E50" i="25"/>
  <c r="D50" i="25"/>
  <c r="C50" i="25"/>
  <c r="B50" i="25"/>
  <c r="A50" i="25"/>
  <c r="K49" i="25"/>
  <c r="J49" i="25"/>
  <c r="I49" i="25"/>
  <c r="H49" i="25"/>
  <c r="G49" i="25"/>
  <c r="F49" i="25"/>
  <c r="E49" i="25"/>
  <c r="D49" i="25"/>
  <c r="C49" i="25"/>
  <c r="B49" i="25"/>
  <c r="A49" i="25"/>
  <c r="J48" i="25"/>
  <c r="I48" i="25"/>
  <c r="H48" i="25"/>
  <c r="G48" i="25"/>
  <c r="F48" i="25"/>
  <c r="E48" i="25"/>
  <c r="D48" i="25"/>
  <c r="C48" i="25"/>
  <c r="B48" i="25"/>
  <c r="A48" i="25"/>
  <c r="C47" i="25"/>
  <c r="B47" i="25"/>
  <c r="A47" i="25"/>
  <c r="D46" i="25"/>
  <c r="C46" i="25"/>
  <c r="B46" i="25"/>
  <c r="A46" i="25"/>
  <c r="F45" i="25"/>
  <c r="E45" i="25"/>
  <c r="D45" i="25"/>
  <c r="C45" i="25"/>
  <c r="B45" i="25"/>
  <c r="A45" i="25"/>
  <c r="K44" i="25"/>
  <c r="J44" i="25"/>
  <c r="I44" i="25"/>
  <c r="H44" i="25"/>
  <c r="G44" i="25"/>
  <c r="F44" i="25"/>
  <c r="E44" i="25"/>
  <c r="D44" i="25"/>
  <c r="C44" i="25"/>
  <c r="B44" i="25"/>
  <c r="A44" i="25"/>
  <c r="K43" i="25"/>
  <c r="J43" i="25"/>
  <c r="I43" i="25"/>
  <c r="H43" i="25"/>
  <c r="G43" i="25"/>
  <c r="F43" i="25"/>
  <c r="E43" i="25"/>
  <c r="D43" i="25"/>
  <c r="C43" i="25"/>
  <c r="B43" i="25"/>
  <c r="A43" i="25"/>
  <c r="C42" i="25"/>
  <c r="B42" i="25"/>
  <c r="A42" i="25"/>
  <c r="B41" i="25"/>
  <c r="A41" i="25"/>
  <c r="E40" i="25"/>
  <c r="D40" i="25"/>
  <c r="C40" i="25"/>
  <c r="B40" i="25"/>
  <c r="A40" i="25"/>
  <c r="C39" i="25"/>
  <c r="B39" i="25"/>
  <c r="A39" i="25"/>
  <c r="K38" i="25"/>
  <c r="J38" i="25"/>
  <c r="I38" i="25"/>
  <c r="H38" i="25"/>
  <c r="G38" i="25"/>
  <c r="F38" i="25"/>
  <c r="E38" i="25"/>
  <c r="D38" i="25"/>
  <c r="C38" i="25"/>
  <c r="B38" i="25"/>
  <c r="A38" i="25"/>
  <c r="I37" i="25"/>
  <c r="H37" i="25"/>
  <c r="G37" i="25"/>
  <c r="F37" i="25"/>
  <c r="E37" i="25"/>
  <c r="D37" i="25"/>
  <c r="C37" i="25"/>
  <c r="B37" i="25"/>
  <c r="A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A36" i="25"/>
  <c r="C35" i="25"/>
  <c r="B35" i="25"/>
  <c r="A35" i="25"/>
  <c r="C34" i="25"/>
  <c r="B34" i="25"/>
  <c r="A34" i="25"/>
  <c r="K33" i="25"/>
  <c r="J33" i="25"/>
  <c r="I33" i="25"/>
  <c r="H33" i="25"/>
  <c r="G33" i="25"/>
  <c r="F33" i="25"/>
  <c r="E33" i="25"/>
  <c r="D33" i="25"/>
  <c r="C33" i="25"/>
  <c r="B33" i="25"/>
  <c r="A33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A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A31" i="25"/>
  <c r="A14" i="25"/>
  <c r="A13" i="25"/>
  <c r="A12" i="25"/>
  <c r="A11" i="25"/>
  <c r="A10" i="25"/>
  <c r="C7" i="25"/>
  <c r="A28" i="25"/>
  <c r="C28" i="25"/>
  <c r="A27" i="25"/>
  <c r="C27" i="25"/>
  <c r="A26" i="25"/>
  <c r="C26" i="25"/>
  <c r="A25" i="25"/>
  <c r="C25" i="25"/>
  <c r="A24" i="25"/>
  <c r="C24" i="25"/>
  <c r="A23" i="25"/>
  <c r="C23" i="25"/>
  <c r="A22" i="25"/>
  <c r="C22" i="25"/>
  <c r="A21" i="25"/>
  <c r="C21" i="25"/>
  <c r="A20" i="25"/>
  <c r="C20" i="25"/>
  <c r="A19" i="25"/>
  <c r="C19" i="25"/>
  <c r="A18" i="25"/>
  <c r="C18" i="25"/>
  <c r="A17" i="25"/>
  <c r="C17" i="25"/>
  <c r="A16" i="25"/>
  <c r="C16" i="25"/>
  <c r="D29" i="25"/>
  <c r="A81" i="25"/>
  <c r="C81" i="25"/>
  <c r="A80" i="25"/>
  <c r="C80" i="25"/>
  <c r="A79" i="25"/>
  <c r="C79" i="25"/>
  <c r="A78" i="25"/>
  <c r="C78" i="25"/>
  <c r="A77" i="25"/>
  <c r="C77" i="25"/>
  <c r="A76" i="25"/>
  <c r="C76" i="25"/>
  <c r="A75" i="25"/>
  <c r="C75" i="25"/>
  <c r="A74" i="25"/>
  <c r="C74" i="25"/>
  <c r="A73" i="25"/>
  <c r="C73" i="25"/>
  <c r="A72" i="25"/>
  <c r="C72" i="25"/>
  <c r="A71" i="25"/>
  <c r="C71" i="25"/>
  <c r="A70" i="25"/>
  <c r="C70" i="25"/>
  <c r="A69" i="25"/>
  <c r="C69" i="25"/>
  <c r="A68" i="25"/>
  <c r="C68" i="25"/>
  <c r="A67" i="25"/>
  <c r="C67" i="25"/>
  <c r="A66" i="25"/>
  <c r="C66" i="25"/>
  <c r="A65" i="25"/>
  <c r="C65" i="25"/>
  <c r="A64" i="25"/>
  <c r="C64" i="25"/>
  <c r="A63" i="25"/>
  <c r="C63" i="25"/>
  <c r="A62" i="25"/>
  <c r="C62" i="25"/>
  <c r="A61" i="25"/>
  <c r="C61" i="25"/>
  <c r="A60" i="25"/>
  <c r="C60" i="25"/>
  <c r="D82" i="25"/>
  <c r="G8" i="19"/>
  <c r="B10" i="19"/>
  <c r="G9" i="19"/>
  <c r="F32" i="19"/>
  <c r="F31" i="19"/>
  <c r="F30" i="19"/>
  <c r="F29" i="19"/>
  <c r="F28" i="19"/>
  <c r="C22" i="19"/>
  <c r="B17" i="19"/>
  <c r="C17" i="19"/>
  <c r="B16" i="19"/>
  <c r="C16" i="19"/>
  <c r="B15" i="19"/>
  <c r="B12" i="19"/>
  <c r="D12" i="19"/>
  <c r="F27" i="19"/>
  <c r="B23" i="19"/>
  <c r="G23" i="19"/>
  <c r="B24" i="19"/>
  <c r="D22" i="19"/>
  <c r="G22" i="19"/>
  <c r="C15" i="19"/>
  <c r="B18" i="19"/>
  <c r="G18" i="19"/>
  <c r="B19" i="19"/>
  <c r="E32" i="19"/>
  <c r="B169" i="26"/>
  <c r="B93" i="24"/>
  <c r="B174" i="26"/>
  <c r="B102" i="24"/>
  <c r="B147" i="26"/>
  <c r="B134" i="24"/>
  <c r="B114" i="26"/>
  <c r="B137" i="24"/>
  <c r="B145" i="26"/>
  <c r="B154" i="24"/>
  <c r="B185" i="26"/>
  <c r="B160" i="24"/>
  <c r="B188" i="26"/>
  <c r="B163" i="24"/>
  <c r="B209" i="26"/>
  <c r="B206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J.H. Hoekstra</author>
  </authors>
  <commentList>
    <comment ref="B22" authorId="0" shapeId="0" xr:uid="{1E7C61E1-9B14-471E-8950-FB1380C38E6E}">
      <text>
        <r>
          <rPr>
            <sz val="9"/>
            <color indexed="81"/>
            <rFont val="Tahoma"/>
            <family val="2"/>
          </rPr>
          <t xml:space="preserve">Hier vult u een bedrag in met maximaal 4 cijfers achter de komma
</t>
        </r>
      </text>
    </comment>
  </commentList>
</comments>
</file>

<file path=xl/sharedStrings.xml><?xml version="1.0" encoding="utf-8"?>
<sst xmlns="http://schemas.openxmlformats.org/spreadsheetml/2006/main" count="1112" uniqueCount="418">
  <si>
    <t>Wind</t>
  </si>
  <si>
    <t>Categorieën productie-installaties</t>
  </si>
  <si>
    <t>Geothermie warmte</t>
  </si>
  <si>
    <t>Wind op land ≥ 7,5 en &lt; 8,0 m/s</t>
  </si>
  <si>
    <t>Wind op land ≥ 7,0 en &lt; 7,5 m/s</t>
  </si>
  <si>
    <t>Zon elektriciteit</t>
  </si>
  <si>
    <t>Zon warmte</t>
  </si>
  <si>
    <t>Zonthermie ≥ 140 kW en &lt; 1 MW</t>
  </si>
  <si>
    <t>Wind op land &lt; 6,75 m/s</t>
  </si>
  <si>
    <t>Wind op land ≥ 6,75 en &lt; 7,0 m/s</t>
  </si>
  <si>
    <t>Wind op waterkering ≥ 7,5 en &lt; 8,0 m/s</t>
  </si>
  <si>
    <t>Wind op waterkering ≥ 7,0 en &lt; 7,5 m/s</t>
  </si>
  <si>
    <t>Wind op waterkering ≥ 6,75 en &lt; 7,0 m/s</t>
  </si>
  <si>
    <t>Wind op waterkering &lt; 6,75 m/s</t>
  </si>
  <si>
    <t>Wind op land, hoogtebeperkt ≥ 7,5 en &lt; 8,0 m/s</t>
  </si>
  <si>
    <t>Wind op land, hoogtebeperkt ≥ 7,0 en &lt; 7,5 m/s</t>
  </si>
  <si>
    <t>Wind op land, hoogtebeperkt ≥ 6,75 en &lt; 7,0 m/s</t>
  </si>
  <si>
    <t>Wind op land, hoogtebeperkt &lt; 6,75 m/s</t>
  </si>
  <si>
    <t xml:space="preserve">Basisprijs </t>
  </si>
  <si>
    <t>Diepe geothermie, uitbreiding productie-installatie met tenminste één aanvullende put (6000 vollasturen)</t>
  </si>
  <si>
    <t>Water warmte</t>
  </si>
  <si>
    <t>Restwarmtebenutting</t>
  </si>
  <si>
    <t>Elektrificatie industrie</t>
  </si>
  <si>
    <t>Subsidieintensiteit bij basisbedrag</t>
  </si>
  <si>
    <t xml:space="preserve">U kiest voor de categorie: </t>
  </si>
  <si>
    <t>Subsidieparameters</t>
  </si>
  <si>
    <t>Maximum basisbedrag</t>
  </si>
  <si>
    <t xml:space="preserve">Emissiereductiefactor </t>
  </si>
  <si>
    <t>Rangschikkingsbedrag bij maximum basisbedrag</t>
  </si>
  <si>
    <t>Langetermijn productprijs</t>
  </si>
  <si>
    <t>Disclaimer</t>
  </si>
  <si>
    <t>Fase</t>
  </si>
  <si>
    <t>Allesvergisting, warmte</t>
  </si>
  <si>
    <t>Allesvergisting, gecombineerde opwekking</t>
  </si>
  <si>
    <t>RWZI verbeterde slibgisting, gecombineerde opwekking</t>
  </si>
  <si>
    <t>RWZI verbeterde slibgisting, warmte</t>
  </si>
  <si>
    <t>RWZI verbeterde slibgisting, hernieuwbaar gas</t>
  </si>
  <si>
    <t>Hernieuwbaar gas</t>
  </si>
  <si>
    <t>Eerste vervolgkeuzelijst op basis van gekozen hoofdthema</t>
  </si>
  <si>
    <t>Thema's hoofdkeuzelijst</t>
  </si>
  <si>
    <t>Zon-PV</t>
  </si>
  <si>
    <t>Tweede vervolgkeuzelijst op basis van gekozen subthema</t>
  </si>
  <si>
    <t>Hoofdthema productie-installaties</t>
  </si>
  <si>
    <t>Indeling subthema's productie-installaties</t>
  </si>
  <si>
    <t>Categorie productie-installatie SDE++</t>
  </si>
  <si>
    <t>Allesvergisting, hernieuwbaar gas</t>
  </si>
  <si>
    <t>Grootschalige elektrische boiler</t>
  </si>
  <si>
    <t>Hernieuwbare elektriciteit</t>
  </si>
  <si>
    <t>Biomassavergisting</t>
  </si>
  <si>
    <t>Biomassaverbranding</t>
  </si>
  <si>
    <t>Aquathermie (thermische energie uit water met warmtepomp)</t>
  </si>
  <si>
    <r>
      <t xml:space="preserve">  €/ton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reductie</t>
    </r>
  </si>
  <si>
    <t xml:space="preserve">  €/ton CO₂ reductie</t>
  </si>
  <si>
    <t>CO₂-arme warmte</t>
  </si>
  <si>
    <t>CO₂-arme productie</t>
  </si>
  <si>
    <t>Maximum fasebedrag (met aftopping op basisbedrag)</t>
  </si>
  <si>
    <t>Berekening rangschikkingsbedrag bij lager aanvraagbedrag</t>
  </si>
  <si>
    <t>Voor welk bedrag wilt u aanvragen?</t>
  </si>
  <si>
    <t>(= maximum basisbedrag - langetermijn productprijs / emissiereductiefactor)</t>
  </si>
  <si>
    <t>Toelichting</t>
  </si>
  <si>
    <t>(= aanvraagbedrag - langetermijnprijs / emissiereductiefactor)</t>
  </si>
  <si>
    <t>Rangschikkingsbedrag bij het aanvraagbedrag</t>
  </si>
  <si>
    <t>Rangschikkingsbedrag bij maximum basisbedrag (euro/ton CO₂ )</t>
  </si>
  <si>
    <t>Industriële warmtepompen</t>
  </si>
  <si>
    <t>Biomassavergisting (hernieuwbaar gas)</t>
  </si>
  <si>
    <t>Biomassavergassing (hernieuwbaar gas)</t>
  </si>
  <si>
    <t>Zon-PVT systeem met warmtepomp</t>
  </si>
  <si>
    <t>Geavanceerde hernieuwbare transportbrandstoffen (vloeibaar gas, benzine- en dieselvervangers)</t>
  </si>
  <si>
    <t>Emissie-factor</t>
  </si>
  <si>
    <t>Eenheid product</t>
  </si>
  <si>
    <t>kWh</t>
  </si>
  <si>
    <r>
      <t>ton CO</t>
    </r>
    <r>
      <rPr>
        <sz val="10"/>
        <rFont val="Calibri"/>
        <family val="2"/>
      </rPr>
      <t>₂</t>
    </r>
  </si>
  <si>
    <t>Restwarmtebenutting (zonder warmtepomp), transportleiding ≥ 0,20 en &lt; 0,30 km/MWth</t>
  </si>
  <si>
    <t>Restwarmtebenutting (zonder warmtepomp), transportleiding ≥ 0,30 en &lt; 0,40 km/MWth</t>
  </si>
  <si>
    <t>Geavanceerde hernieuwbare transportbrandstoffen (gas, benzine en diesel)</t>
  </si>
  <si>
    <t>Bio-LNG uit allesvergisting (vloeibaar gas)</t>
  </si>
  <si>
    <t>Zonthermie ≥ 1 MW</t>
  </si>
  <si>
    <t>Fase 1</t>
  </si>
  <si>
    <t>Fase 2</t>
  </si>
  <si>
    <t>Fase 3</t>
  </si>
  <si>
    <t>Fase 4</t>
  </si>
  <si>
    <r>
      <t xml:space="preserve">Zonthermie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1 MW</t>
    </r>
  </si>
  <si>
    <t>Geothermie (on)diep met warmtepomp</t>
  </si>
  <si>
    <t>Diepe geothermie &lt; 12 MWth (6000 vollasturen)</t>
  </si>
  <si>
    <t>Diepe geothermie ≥ 12 MWth &lt; 20 MWth (6000 vollasturen)</t>
  </si>
  <si>
    <r>
      <t xml:space="preserve">Diepe geothermie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20 MWth (6000 vollasturen)</t>
    </r>
  </si>
  <si>
    <t>Diepe geothermie &lt; 12 MWth, ombouw van bestaande olie- en/of gasputten (6000 vollasturen)</t>
  </si>
  <si>
    <t>Diepe geothermie ≥ 12 MWth en &lt; 20 MWth, ombouw van bestaande olie- en/of gasputten (6000 vollasturen)</t>
  </si>
  <si>
    <r>
      <t xml:space="preserve">Diepe geothermie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20 MWth, basislast, ombouw van bestaande olie- en/of gasputten (6000 vollasturen)</t>
    </r>
  </si>
  <si>
    <t>Diepe geothermie, verwarming gebouwde omgeving (5000 vollasturen)</t>
  </si>
  <si>
    <t>Industriële gesloten warmtepomp (8000 vollasturen)</t>
  </si>
  <si>
    <t>Industriële gesloten warmtepomp (3000 vollasturen)</t>
  </si>
  <si>
    <t>Restwarmtebenutting met warmtepomp, transportleiding ≥ 0,10 en &lt; 0,20 km/MWth</t>
  </si>
  <si>
    <t>Restwarmtebenutting met warmtepomp, transportleiding ≥ 0,20 en &lt; 0,30 km/MWth</t>
  </si>
  <si>
    <t>Restwarmtebenutting met warmtepomp, transportleiding ≥ 0,30 en &lt; 0,40 km/MWth</t>
  </si>
  <si>
    <t>Restwarmtebenutting met warmtepomp, transportleiding ≥ 0,40 km/MWth</t>
  </si>
  <si>
    <t>Bio-methanol uit vaste lignocellulosehoudende biomassa (benzinevervanger)</t>
  </si>
  <si>
    <t>Diepe geothermie ≥ 20 MWth (6000 vollasturen)</t>
  </si>
  <si>
    <t>Diepe geothermie ≥ 20 MWth, basislast, ombouw van bestaande olie- en/of gasputten (6000 vollasturen)</t>
  </si>
  <si>
    <t>Fase 5</t>
  </si>
  <si>
    <t>Fase 4 (300 euro/ton CO2)</t>
  </si>
  <si>
    <t>Hekje</t>
  </si>
  <si>
    <t>Ja/Nee</t>
  </si>
  <si>
    <t>Zon-PV ≥ 15 kWp en &lt; 1 MWp aansluiting &gt; 3*80 A, gebouwgebonden (net = 50%)</t>
  </si>
  <si>
    <t>Zon-PV ≥ 1 MWp, gebouwgebonden (net = 50%)</t>
  </si>
  <si>
    <t>Zon-PV ≥ 15 kWp en &lt; 1 MWp aansluiting &gt; 3*80 A, drijvend op water (net = 50%)</t>
  </si>
  <si>
    <t>Zon-PV ≥ 1 MWp, drijvend op water (net = 50%)</t>
  </si>
  <si>
    <t>Plafond fase 5</t>
  </si>
  <si>
    <t>Ja = 400, Nee = 300</t>
  </si>
  <si>
    <t>Lucht warmte</t>
  </si>
  <si>
    <t>Lucht-water warmtepomp</t>
  </si>
  <si>
    <t>Domein</t>
  </si>
  <si>
    <t>Hoge temperatuur warmte</t>
  </si>
  <si>
    <t>Lage temperatuur warmte</t>
  </si>
  <si>
    <t>Moleculen</t>
  </si>
  <si>
    <t>Domein van de categorie</t>
  </si>
  <si>
    <t>Vanaf welke fase kunt u voor het maximum basisbedrag aanvragen?</t>
  </si>
  <si>
    <t>Vanaf welke fase kunt u voor het door u gekozen bedrag aanvragen?</t>
  </si>
  <si>
    <r>
      <t>Fasegrens in €/ton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reductie</t>
    </r>
  </si>
  <si>
    <t>Stoomketel op houtpellets ≥ 5 MWth en &lt; 50 MWth</t>
  </si>
  <si>
    <t>Stoomketel op houtpellets ≥ 50 MWth</t>
  </si>
  <si>
    <t>Openstellingsperiode</t>
  </si>
  <si>
    <t>Hernieuwbare warmte (en gecombineerde opwekking)</t>
  </si>
  <si>
    <t>Fase 1 (75 euro/ton CO2)</t>
  </si>
  <si>
    <t>Fase 2 (150 euro/ton CO2)</t>
  </si>
  <si>
    <t>Fase 3 (225 euro/ton CO2)</t>
  </si>
  <si>
    <t>Biomassavergisting gecombineerde opwekking van elektriciteit en warmte</t>
  </si>
  <si>
    <t>Monomestvergisting, gecombineerde opwekking ≤ 110 kW</t>
  </si>
  <si>
    <t>Allesvergisting voortzetting, gecombineerde opwekking</t>
  </si>
  <si>
    <t>Biomassavergisting warmte</t>
  </si>
  <si>
    <t>Monomestvergisting, warmte ≤ 110 kW</t>
  </si>
  <si>
    <t>Allesvergisting voortzetting, warmte</t>
  </si>
  <si>
    <t>Biomassavergisting en vergassing hernieuwbaar gas</t>
  </si>
  <si>
    <t>Monomestvergisting, hernieuwbaar gas ≤ 110 kW</t>
  </si>
  <si>
    <t>Allesvergisting voortzetting, hernieuwbaar gas</t>
  </si>
  <si>
    <t>Biomassaverbranding warmte</t>
  </si>
  <si>
    <t>Directe inzet van houtpellets voor industriële toepassingen ≥ 5 MWth</t>
  </si>
  <si>
    <t xml:space="preserve">Grote ketel op vaste of vloeibare biomassa ≥ 5 MWth, voortzetting </t>
  </si>
  <si>
    <t>Aquathermie, basislast, verwarming gebouwde omgeving (6000 vollasturen)</t>
  </si>
  <si>
    <t>Aquathermie, basislast, verwarming gebouwde omgeving, nieuw warmteoverdrachtstation (6000 vollasturen)</t>
  </si>
  <si>
    <t>Lucht-water-warmtepomp voor verwarming bestaande gebouwde omgeving, geen basislast, middentemperatuur (≥ 70 ⁰C)</t>
  </si>
  <si>
    <t>Zon-PV ≥ 20 MWp, op land natuurinclusief (net = 50%)</t>
  </si>
  <si>
    <t>Restwarmtebenutting met warmtepomp, transportleiding &lt; 0,10 km/MWth</t>
  </si>
  <si>
    <t xml:space="preserve">Waterstof uit elektrolyse, netgekoppeld met hernieuwbare stroomafnameovereenkomsten </t>
  </si>
  <si>
    <t>Waterstof uit elektrolyse, directe lijn met windpark of zonnepark</t>
  </si>
  <si>
    <t>Subsidie-intensiteit met aftopping</t>
  </si>
  <si>
    <t>Zonthermie</t>
  </si>
  <si>
    <t>Gekozen categorie productie-installatie</t>
  </si>
  <si>
    <t>Maximum basisbedrag (fase 5)</t>
  </si>
  <si>
    <t>Basisprijs generiek (bij zon-PV netlevering)</t>
  </si>
  <si>
    <t>Monomestvergisting, gecombineerde opwekking &gt; 1500 kW</t>
  </si>
  <si>
    <t>Monomestvergisting, warmte &gt; 1500 kW</t>
  </si>
  <si>
    <t>Monomestvergisting, hernieuwbaar gas &gt; 1500 kW</t>
  </si>
  <si>
    <t>Diepe geothermie &lt; 12 MWth, verwarming gebouwde omgeving (3500 vollasturen)</t>
  </si>
  <si>
    <r>
      <t xml:space="preserve">Diepe geothermie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12 MWth, verwarming gebouwde omgeving (3500 vollasturen)</t>
    </r>
  </si>
  <si>
    <r>
      <t>Lucht-water-warmtepomp voor verwarming bestaande gebouwde omgeving of bestaande tuinbouwkassen, geen basislast, lagetemperatuur (</t>
    </r>
    <r>
      <rPr>
        <sz val="10"/>
        <rFont val="Calibri"/>
        <family val="2"/>
      </rPr>
      <t>≥</t>
    </r>
    <r>
      <rPr>
        <sz val="7.5"/>
        <rFont val="Arial"/>
        <family val="2"/>
      </rPr>
      <t xml:space="preserve"> </t>
    </r>
    <r>
      <rPr>
        <sz val="10"/>
        <rFont val="Arial"/>
        <family val="2"/>
      </rPr>
      <t>40</t>
    </r>
    <r>
      <rPr>
        <sz val="7.5"/>
        <rFont val="Arial"/>
        <family val="2"/>
      </rPr>
      <t xml:space="preserve"> </t>
    </r>
    <r>
      <rPr>
        <sz val="10"/>
        <rFont val="Calibri"/>
        <family val="2"/>
      </rPr>
      <t>⁰</t>
    </r>
    <r>
      <rPr>
        <sz val="10"/>
        <rFont val="Arial"/>
        <family val="2"/>
      </rPr>
      <t>C</t>
    </r>
    <r>
      <rPr>
        <sz val="5.65"/>
        <rFont val="Arial"/>
        <family val="2"/>
      </rPr>
      <t>)</t>
    </r>
  </si>
  <si>
    <t>Wind op land ≥ 8,0 m/s</t>
  </si>
  <si>
    <t>Wind op land, hoogtebeperkt ≥ 8,0 m/s</t>
  </si>
  <si>
    <t>Wind op waterkering ≥ 8,0 m/s</t>
  </si>
  <si>
    <t>Zon-PV ≥ 15 kWp en &lt; 1 MWp aansluiting &gt; 3*80 A,  op oost-west gevels van gebouwen (net = 50%)</t>
  </si>
  <si>
    <t>Zon-PV ≥ 15 kWp en &lt; 1 MWp aansluiting &gt; 3*80 A, op land natuurinclusief (net = 50%)</t>
  </si>
  <si>
    <t>Zon-PV ≥ 1 MWp en &lt; 20 MWp, op land natuurinclusief (net = 50%)</t>
  </si>
  <si>
    <t xml:space="preserve">Zon-PV ≥ 15kWp en &lt; 1 MWp aansluiting &gt; 3*80 A,  verticaal op land </t>
  </si>
  <si>
    <t xml:space="preserve">Zon-PV ≥ 1 MWp aansluiting &gt; 3*80 A,  verticaal op land </t>
  </si>
  <si>
    <t>Zon-PVT systeem, stadsverwarming</t>
  </si>
  <si>
    <t>Industriële gesloten warmtepomp (5000 vollasturen)</t>
  </si>
  <si>
    <t>Restwarmtebenutting (zonder warmtepomp), transportleiding ≥ 0,10 en &lt; 0,20 km/MWth</t>
  </si>
  <si>
    <t>Restwarmtebenutting (zonder warmtepomp), transportleiding ≥ 0,40 km/MWth</t>
  </si>
  <si>
    <t>Grootschalige elektrische boiler, stadsverwarming</t>
  </si>
  <si>
    <t>Grootschalige elektrische boiler, industriele toepassing niet zijnde tuinbouw</t>
  </si>
  <si>
    <t>Grootschalige elektrische boiler, industriele toepassing niet zijnde tuinbouw, met hogetemperatuuropslag</t>
  </si>
  <si>
    <t>Grootschalige elektrische boiler voortzetting, stadsverwarming</t>
  </si>
  <si>
    <t>Grootschalige elektrische boiler voortzetting, industriele toepassing niet zijnde tuinbouw</t>
  </si>
  <si>
    <t>Waterstof uit vergassing van afval</t>
  </si>
  <si>
    <t>Lagetemperatuurwarmte</t>
  </si>
  <si>
    <t>Diepe geothermie ≥ 12 MWth, verwarming gebouwde omgeving (3500 vollasturen)</t>
  </si>
  <si>
    <t>Lucht-water-warmtepomp voor verwarming bestaande gebouwde omgeving of bestaande tuinbouwkassen, geen basislast, lagetemperatuur (≥ 40 ⁰C)</t>
  </si>
  <si>
    <t>Fase 1 - 5</t>
  </si>
  <si>
    <t>Rekentool rangschikkingsbedragen SDE++ 2026</t>
  </si>
  <si>
    <r>
      <t>Deze rekentool geeft inzicht in welke fase u subsidie kunt aanvragen voor een bepaalde categorie productie-installaties bij een bepaald aanvraagbedrag (de kostprijs met een redelijke winstmarge per kWh geproduceerde energie of ton afgevangen CO</t>
    </r>
    <r>
      <rPr>
        <sz val="10"/>
        <rFont val="Calibri"/>
        <family val="2"/>
      </rPr>
      <t>₂</t>
    </r>
    <r>
      <rPr>
        <sz val="10"/>
        <rFont val="Arial"/>
        <family val="2"/>
      </rPr>
      <t xml:space="preserve"> van uw project). In de Regeling aanwijzing categorieën van de SDE++ 2026 zijn per categorie productie-installaties fasegrenzen gepubliceerd. De fasegrenzen voor uw categorie vindt u terug in de openstellingstabel op deze pagina. Op de dag waarop het subsidiebudget is uitgeput worden de aanvragen gerangschikt op subsidie-intensiteit in euro/ton CO</t>
    </r>
    <r>
      <rPr>
        <sz val="10"/>
        <rFont val="Calibri"/>
        <family val="2"/>
      </rPr>
      <t>₂</t>
    </r>
    <r>
      <rPr>
        <sz val="10"/>
        <rFont val="Arial"/>
        <family val="2"/>
      </rPr>
      <t xml:space="preserve"> emissiereductie, afgerond op 3 decimalen. De rekentool rekent uw aanvraagbedrag om naar het rangschikkingsbedrag om u inzicht te geven hoe hoog deze is voor uw aanvraagbedrag in de betreffende categorie productie-installaties. De formule die in de rekentool is gebruikt met de daarbij gehanteerde kentallen vind u eveneens terug op deze pagina. Op het tabblad "Alle categorieën" is een overzicht opgenomen met de subsidie-intensiteiten van alle categorieën productie-installaties als aangevraagd wordt voor het maximum basisbedrag. </t>
    </r>
  </si>
  <si>
    <t>Openstellingstabel SDE++ 2026</t>
  </si>
  <si>
    <t xml:space="preserve">Hoewel deze Rekentool rangschikkingsbedragen SDE++ 2026 met de grootst mogelijke zorg is samengesteld kan Rijksdienst voor Ondernemend Nederland (RVO) geen enkele aansprakelijkheid aanvaarden voor eventuele fouten.  </t>
  </si>
  <si>
    <t>2 november, 17.00 uur tot 9 november, 17.00 uur</t>
  </si>
  <si>
    <t>23 november, 17.00 uur tot 26 november, 17.00 uur</t>
  </si>
  <si>
    <t xml:space="preserve"> 9 november, 17.00 uur tot 16 november, 17.00 uur</t>
  </si>
  <si>
    <t>16 november, 17.00 uur tot 23 november, 17.00 uur</t>
  </si>
  <si>
    <t xml:space="preserve"> 27 oktober, 09.00 uur tot 2 november, 17.00 uur</t>
  </si>
  <si>
    <t>Geothermie diep</t>
  </si>
  <si>
    <t>Waterstofproductie</t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</si>
  <si>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4.000 uur bij biomassaverbranding, biogene procesemissies en uit omgevingslucht (combinatie met 4.000 uur CCU mogelijk)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</si>
  <si>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8.000 uur bij biomassaverbranding, biogene procesemissies en uit omgevingslucht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</si>
  <si>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4.000 uur bij afvalverbrandingsinstallaties (AVI's) (combinatie met 4.000 uur CCU mogelijk)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</si>
  <si>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8.000 uur bij afvalverbrandingsinstallaties (AVI's)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</si>
  <si>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4.000 uur bij (industriële) ETS-installaties (combinatie met 4.000 uur CCU mogelijk)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</si>
  <si>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8.000 uur bij (industriële) ETS-installaties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</si>
  <si>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4.000 uur bij (industriële) niet-ETS-installaties (combinatie met 4.000 uur CCU mogelijk)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</si>
  <si>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opslag (CCS) 8.000 uur bij (industriële) niet-ETS-installaties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</si>
  <si>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gebruik (CCU) 4.000 uur, gasvormig (transport)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</si>
  <si>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gebruik (CCU) 4.000 uur, vloeibaar (transport)</t>
    </r>
  </si>
  <si>
    <r>
      <t>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-afvang en gebruik (CCU) 4.000 uur, direct aircapture</t>
    </r>
  </si>
  <si>
    <t>Langetermijnprijs totaal</t>
  </si>
  <si>
    <t>Extra attenderingen</t>
  </si>
  <si>
    <t>Economische levensduur</t>
  </si>
  <si>
    <t>Monomestvergisting, gecombineerde opwekking &gt; 110 kW en ≤ 1500 kW</t>
  </si>
  <si>
    <t xml:space="preserve">Monomestvergisting voortzetting, gecombineerde opwekking ≤ 1500 kW </t>
  </si>
  <si>
    <t>Monomestvergisting, warmte &gt; 110 kW en ≤ 1500 kW</t>
  </si>
  <si>
    <t>Monomestvergisting voortzetting, warmte ≤ 1500 kW</t>
  </si>
  <si>
    <t>Allesvergisting extra faciliteit (ombouw naar hernieuwbaar gas)</t>
  </si>
  <si>
    <t>Monomestvergisting, hernieuwbaar gas &gt; 110 kW en ≤ 1500 kW</t>
  </si>
  <si>
    <t>Monomestvergisting voortzetting ≤ 1500 kW, hernieuwbaar gas</t>
  </si>
  <si>
    <t>Monomestvergisting extra faciliteit (ombouw naar hernieuwbaar gas) ≤ 1500 kW</t>
  </si>
  <si>
    <t>RWZI slibgisting extra faciliteit (ombouw naar hernieuwbaar gas)</t>
  </si>
  <si>
    <t xml:space="preserve">Biomassavergassing inclusief B-Hout </t>
  </si>
  <si>
    <t xml:space="preserve">Biomassavergassing exclusief B-Hout </t>
  </si>
  <si>
    <t>Installatie op vloeibare biomassa voor stadsverwarming ≥ 0,5 MWth</t>
  </si>
  <si>
    <t>Voor deze categorie gelden duurzaamheidseisen voor de ingezette biomassa!</t>
  </si>
  <si>
    <t>Installatie op vloeibare biomassa voor overige toepassingen ≥ 0,5 MWth</t>
  </si>
  <si>
    <t>Grote ketel op vaste of vloeibare biomassa ≥ 5 MWth</t>
  </si>
  <si>
    <t>De ingezette brandstof moet voor ten minste 97% van de energetische waarde biogeen zijn! Daarnaast gelden duurzaamheidseisen voor de ingezette biomassa!</t>
  </si>
  <si>
    <t>Voor deze categorie geldt dat de ingezette brandstof voor ten minste 97% van de energetische waarde biogeen is!</t>
  </si>
  <si>
    <t xml:space="preserve">Grote ketel op B-hout, voortzetting </t>
  </si>
  <si>
    <t xml:space="preserve">Voor deze categorie geldt een minimale COP-eis voor de warmtepomp! </t>
  </si>
  <si>
    <t xml:space="preserve">Voor deze categorie geldt een minimale COP-eis voor de warmtepomp en dat de warmte uitsluitend wordt geleverd aan gebouwde omgeving! </t>
  </si>
  <si>
    <t xml:space="preserve">Voor deze categorie geldt dat warmte uitsluitend wordt geleverd aan gebouwde omgeving! </t>
  </si>
  <si>
    <t xml:space="preserve">Voor deze categorie geldt een minimale COP-eis voor de warmtepomp en dat warmte uitsluitend wordt geleverd aan gebouwde omgeving via een nieuw warmteoverdrachtsstation!  </t>
  </si>
  <si>
    <t xml:space="preserve">Voor deze categorie geldt een minimale COP-eis voor de warmtepomp en dat warmte uitsluitend wordt geleverd aan gebouwde omgeving!  </t>
  </si>
  <si>
    <t>Aquathermie, geen basislast, stadsverwarming (3500 vollasturen)</t>
  </si>
  <si>
    <t xml:space="preserve">Voor deze categorie geldt een minimale COP-eis voor de warmtepomp en dat de warmte uitsluitend wordt geleverd voor verwarming van de gebouwde omgeving! </t>
  </si>
  <si>
    <t>Aquathermie met seizoensopslag, geen basislast, rechtstreekse levering aan gebouw (3500 vollasturen)</t>
  </si>
  <si>
    <t xml:space="preserve">Voor deze categorie geldt een minimale COP eis en temperatuurseis voor de warmtepomp en dat de warmte uitsluitend wordt geleverd voor objecten in de gebouwde omgeving! </t>
  </si>
  <si>
    <t xml:space="preserve">Voor deze categorie geldt een minimale COP eis en temperatuurseis voor de warmtepomp! </t>
  </si>
  <si>
    <t xml:space="preserve">Voor deze categorie geldt dat een project een gecontracteerd terugleververmogen van de netaansluiting voor de productie-installatie van maximaal 50% van het piekvermogen van de zonnepanelen mag hebben. </t>
  </si>
  <si>
    <t>Zon-PV ≥ 15 kWp en &lt; 1 MWp aansluiting &gt; 3*80 A, gebouwgebonden met dakaanpassing of lichtgewicht panelen (net = 50%)</t>
  </si>
  <si>
    <t>Zon-PV ≥ 1 MWp, gebouwgebonden met dakaanpassing of lichtgewicht panelen (net = 50%)</t>
  </si>
  <si>
    <t xml:space="preserve">Zon-PV ≥ 1 MWp, zonvolgend op land natuurinclusief </t>
  </si>
  <si>
    <t>Zon-PV ≥ 15 kWp en &lt;  1 MWp aansluiting &gt; 3*80 A, op land met bestemming verkeer langs wegen en spoor (net = 50%)</t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</si>
  <si>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opslag (CCS) 4.000 uur bij biomassaverbranding, biogene procesemissies en uit omgevingslucht (combinatie met 4.000 uur CCU mogelijk)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</si>
  <si>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biomassaverbrandingsinstallatie ≤ 100 MWe of uit omgevingslucht, gasvormig transport (art. 79.3.a.1⁰)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</si>
  <si>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biomassaverbrandingsinstallatie ≤ 100 MWe of uit omgevingslucht, vloeibaar transport, nieuwe vervloeiingsinstallatie (art. 79.3.a.2⁰)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</si>
  <si>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biomassaverbrandingsinstallatie ≤ 100 MWe of uit omgevingslucht, vloeibaar transport (art. 79.3.a.3⁰)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</si>
  <si>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biogene procesemissies, gasvormig transport (art. 79.4.a.1⁰)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</si>
  <si>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biogene procesemissies, vloeibaar transport, nieuwe vervloeiingsinstallatie (art. 79.4.a.2⁰)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</si>
  <si>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biogene procesemissies, vloeibaar transport (art. 79.4.a.3⁰)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</si>
  <si>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-afvang en opslag (CCS) 8.000 uur bij biomassaverbranding, biogene procesemissies en uit omgevingslucht 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</si>
  <si>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biomassaverbrandingsinstallatie ≤ 100 MWe, gasvormig transport (art. 79.3.b.1⁰)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</si>
  <si>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biomassaverbrandingsinstallatie ≤ 100 MWe, vloeibaar transport, nieuwe vervloeiingsinstallatie (art. 79.3.b.2⁰)</t>
    </r>
  </si>
  <si>
    <r>
      <t>CCS - Nieuwe zuivering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-emissie, bestaande installatie, gasvormig transport (art. 79.4.b.1⁰)</t>
    </r>
  </si>
  <si>
    <r>
      <t>CCS - Nieuwe zuivering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-emissie, bestaande installatie, vloeibaar transport, nieuwe vervloeiingsinstallatie (art. 79.4.b.2⁰)</t>
    </r>
  </si>
  <si>
    <r>
      <t>CCS - Nieuwe zuivering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-emissie, nieuwe installatie, gasvormig transport (art. 79.4.c.1⁰)</t>
    </r>
  </si>
  <si>
    <r>
      <t>CCS - Nieuwe zuivering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-emissie, nieuwe installatie, vloeibaar transport, nieuwe vervloeiingsinstallatie (art. 79.4.c.2⁰)</t>
    </r>
  </si>
  <si>
    <t>CCS - Nieuwe CO2 afvang uit omgevingslucht, gasvormig transport (art. 79.3.c)</t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</si>
  <si>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opslag (CCS) 4.000 uur bij afvalverbrandingsinstallaties (AVI's) (combinatie met 4.000 uur CCU mogelijk)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</si>
  <si>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afvalverbrandingsinstallaties, gasvormig transport (art. 79.2.a.1⁰)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</si>
  <si>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afvalverbrandingsinstallaties, vloeibaar transport, nieuwe vervloeiingsinstallatie (art. 79.2.a.2⁰)</t>
    </r>
  </si>
  <si>
    <r>
      <t>CCS - Gedeeltelijke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afvalverbrandingsinstallaties, vloeibaar transport (art. 79.2.a.3⁰)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</si>
  <si>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opslag (CCS) 8.000 uur bij afvalverbrandingsinstallaties (AVI's)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</si>
  <si>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afvalverbrandingsinstallatie, gasvormig transport (art. 79.2.b.1⁰)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</si>
  <si>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afvalverbrandingsinstallatie, vloeibaar transport, nieuwe vervloeiingsinstallatie (art. 79.2.b.2⁰)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</si>
  <si>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opslag (CCS) 4.000 uur bij (industriële) ETS-installaties (combinatie met 4.000 uur CCU mogelijk)</t>
    </r>
  </si>
  <si>
    <r>
      <t>CCS - Gedeeltelijke opslag van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-procesemissie, gasvormig transport (art. 79.1.a.1</t>
    </r>
    <r>
      <rPr>
        <sz val="10"/>
        <rFont val="Calibri"/>
        <family val="2"/>
      </rPr>
      <t>⁰</t>
    </r>
    <r>
      <rPr>
        <sz val="10"/>
        <rFont val="Arial"/>
        <family val="2"/>
      </rPr>
      <t>)</t>
    </r>
  </si>
  <si>
    <r>
      <t>CCS - Gedeeltelijke opslag van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-procesemissie, vloeibaar transport, nieuwe vervloeiingsinstallatie (art. 79.1.a.2</t>
    </r>
    <r>
      <rPr>
        <sz val="10"/>
        <rFont val="Calibri"/>
        <family val="2"/>
      </rPr>
      <t>⁰</t>
    </r>
    <r>
      <rPr>
        <sz val="10"/>
        <rFont val="Arial"/>
        <family val="2"/>
      </rPr>
      <t>)</t>
    </r>
  </si>
  <si>
    <r>
      <t>CCS - Gedeeltelijke opslag van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-procesemissie, vloeibaar transport (art. 79.1.a.3</t>
    </r>
    <r>
      <rPr>
        <sz val="10"/>
        <rFont val="Calibri"/>
        <family val="2"/>
      </rPr>
      <t>⁰</t>
    </r>
    <r>
      <rPr>
        <sz val="10"/>
        <rFont val="Arial"/>
        <family val="2"/>
      </rPr>
      <t>)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</si>
  <si>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opslag (CCS) 8.000 uur bij (industriële) ETS-installaties</t>
    </r>
  </si>
  <si>
    <r>
      <t>CCS - Volledige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installaties, gasvormig transport (art. 79.1.b.1</t>
    </r>
    <r>
      <rPr>
        <sz val="10"/>
        <rFont val="Calibri"/>
        <family val="2"/>
      </rPr>
      <t>⁰</t>
    </r>
    <r>
      <rPr>
        <sz val="10"/>
        <rFont val="Arial"/>
        <family val="2"/>
      </rPr>
      <t>)</t>
    </r>
  </si>
  <si>
    <r>
      <t>CCS - Volledige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-opslag bij bestaande installaties, vloeibaar transport, nieuwe vervloeiingsinstallatie (art. 79.1.b.2</t>
    </r>
    <r>
      <rPr>
        <sz val="10"/>
        <rFont val="Calibri"/>
        <family val="2"/>
      </rPr>
      <t>⁰</t>
    </r>
    <r>
      <rPr>
        <sz val="10"/>
        <rFont val="Arial"/>
        <family val="2"/>
      </rPr>
      <t xml:space="preserve">) </t>
    </r>
  </si>
  <si>
    <r>
      <t>CCS - Nieuwe pre-combustion zuivering van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-procesemissie, bestaande installatie, gasvormig transport (art. 79.1.c.1</t>
    </r>
    <r>
      <rPr>
        <sz val="10"/>
        <rFont val="Calibri"/>
        <family val="2"/>
      </rPr>
      <t>⁰</t>
    </r>
    <r>
      <rPr>
        <sz val="10"/>
        <rFont val="Arial"/>
        <family val="2"/>
      </rPr>
      <t>)</t>
    </r>
  </si>
  <si>
    <r>
      <t>CCS - Nieuwe pre-combustion zuivering van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-procesemissie, bestaande installatie, vloeibaar transport, nieuwe vervloeiingsinstallatie (art. 79.1.c.2⁰)</t>
    </r>
  </si>
  <si>
    <r>
      <t>CCS - Nieuwe pre-combustion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-zuivering, nieuwe installatie, gasvormig transport (art. 79.1.g.1⁰)</t>
    </r>
  </si>
  <si>
    <r>
      <t>CCS - Nieuwe pre-combustion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-zuivering, nieuwe installatie, vloeibaar transport, nieuwe vervloeiingsinstallatie (art. 79.1.g.2⁰)</t>
    </r>
  </si>
  <si>
    <r>
      <t>CCS - Nieuwe pre-combustion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 bij nieuwe waterstofproductie uit restgassen voor ondervuring, gasvormig transport (art. 79.1.d.1</t>
    </r>
    <r>
      <rPr>
        <sz val="10"/>
        <rFont val="Calibri"/>
        <family val="2"/>
      </rPr>
      <t>⁰</t>
    </r>
    <r>
      <rPr>
        <sz val="7.5"/>
        <rFont val="Arial"/>
        <family val="2"/>
      </rPr>
      <t>)</t>
    </r>
  </si>
  <si>
    <r>
      <t>CCS - Nieuwe pre-combustion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 bij nieuwe waterstofproductie uit restgassen voor ondervuring, vloeibaar transport, nieuwe vervloeiingsinstallatie (art. 79.1.d.2⁰)</t>
    </r>
  </si>
  <si>
    <t>CCS - Nieuwe pre-combustion CO2 afvang bij bestaande waterstofproductie uit restgassen voor ondervuring, gasvormig transport (art. 79.1.e.1⁰)</t>
  </si>
  <si>
    <t>CCS - Nieuwe pre-combustion CO2 afvang bij bestaande waterstofproductie uit restgassen voor ondervuring, vloeibaar transport, nieuwe vervloeiingsinstallatie (art. 79.1.e.2⁰)</t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</si>
  <si>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installatie, gasvormig transport (art. 79.1.f.1⁰)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</si>
  <si>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-afvang, bestaande installatie, vloeibaar transport, nieuwe vervloeiingsinstallatie(art. 79.1.f.2⁰) 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</si>
  <si>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nieuwe installatie, gasvormig transport (art. 79.1.h.1⁰)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</si>
  <si>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nieuwe installatie, vloeibaar transport, nieuwe vervloeiingsinstallatie (art. 79.1.h.2⁰)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</si>
  <si>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opslag (CCS) 4.000 uur bij (industriële) niet-ETS-installaties (combinatie met 4.000 uur CCU mogelijk)</t>
    </r>
  </si>
  <si>
    <r>
      <t>CCS - Gedeeltelijke opslag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-emissie bij bestaande of nieuwe installaties niet-ETS-bedrijf, gasvormig transport (art. 81.a.1⁰)</t>
    </r>
  </si>
  <si>
    <r>
      <t>CCS - Gedeeltelijke opslag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-emissie bij bestaande of nieuwe installaties niet-ETS-bedrijf, vloeibaar transport, nieuwe vervloeiingsinstallatie (art. 81.a.2⁰)</t>
    </r>
  </si>
  <si>
    <r>
      <t>CCS - Gedeeltelijke opslag niet biogene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-emissie bij bestaande of nieuwe installaties niet-ETS-bedrijf, vloeibaar transport (art. 81.a.3⁰)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</si>
  <si>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opslag (CCS) 8.000 uur bij (industriële) niet-ETS-installaties</t>
    </r>
  </si>
  <si>
    <r>
      <t>CCS - Volledige opslag niet biogene 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-emissie bij bestaande installaties niet-ETS-bedrijf, gasvormig transport (art. 81.b.1⁰)</t>
    </r>
  </si>
  <si>
    <r>
      <t>CCS - Volledige opslag niet biogene 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-emissie bij bestaande installaties niet-ETS-bedrijf, vloeibaar transport, nieuwe vervloeiingsinstallatie (art. 81.b.2⁰)</t>
    </r>
  </si>
  <si>
    <r>
      <t>CCS - Nieuwe pre-combustion zuivering niet biogene 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-emissie, bestaande installatie niet-ETS-bedrijf, gasvormig transport (art. 81.c.1⁰)</t>
    </r>
  </si>
  <si>
    <r>
      <t>CCS - Nieuwe pre-combustion zuivering niet biogene 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-emissie, bestaande installatie niet-ETS-bedrijf, vloeibaar transport, nieuwe vervloeiingsinstallatie (art. 81.c.2⁰)</t>
    </r>
  </si>
  <si>
    <r>
      <t>CCS - Nieuwe pre-combustion zuivering niet biogene 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-emissie, nieuwe installatie niet-ETS-bedrijf, gasvormig transport (art. 81.g.1⁰)</t>
    </r>
  </si>
  <si>
    <r>
      <t>CCS - Nieuwe pre-combustion zuivering niet biogene CO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-emissie, nieuwe installatie niet-ETS-bedrijf, vloeibaar transport, nieuwe vervloeiingsinstallatie (art. 81.g.2⁰)</t>
    </r>
  </si>
  <si>
    <t>CCS - Nieuwe pre-combustion CO2-afvang bij nieuwe waterstofproductie uit restgassen voor ondervuring niet-ETS-bedrijf, gasvormig transport (art. 81.d.1⁰)</t>
  </si>
  <si>
    <t>CCS - Nieuwe pre-combustion CO2-afvang bij nieuwe waterstofproductie uit restgassen voor ondervuring niet-ETS-bedrijf, vloeibaar transport, nieuwe vervloeiingsinstallatie (art. 81.d.2⁰)</t>
  </si>
  <si>
    <t>CCS - Nieuwe pre-combustion CO2-afvang bij bestaande waterstofproductie uit restgassen voor ondervuring niet-ETS-bedrijf, gasvormig transport (art. 81.e.1⁰)</t>
  </si>
  <si>
    <t>CCS - Nieuwe pre-combustion CO2-afvang bij bestaande waterstofproductie uit restgassen voor ondervuring niet-ETS-bedrijf, vloeibaar transport, nieuwe vervloeiingsinstallatie (art. 81.e.2⁰)</t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</si>
  <si>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installatie niet-ETS-bedrijf, gasvormig transport (art. 81.f.1⁰)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</si>
  <si>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installatie niet-ETS-bedrijf, vloeibaar transport, nieuwe vervloeiingsinstallatie (art. 81.f.2⁰)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</si>
  <si>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nieuwe installatie niet-ETS-bedrijf, gasvormig transport (art. 81.h.1⁰)</t>
    </r>
  </si>
  <si>
    <r>
      <t>CCS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nieuwe installatie niet-ETS-bedrijf, vloeibaar transport, nieuwe vervloeiingsinstallatie (art. 81.h.2⁰)</t>
    </r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</si>
  <si>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gebruik (CCU) 4.000 uur, gasvormig (transport)</t>
    </r>
  </si>
  <si>
    <r>
      <t>CCU - Nieuwe pre-combustion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-zuivering, bestaande of nieuwe installatie, gasvormig transport (art. 83.1.a.1⁰)</t>
    </r>
  </si>
  <si>
    <r>
      <t>CCU - Nieuwe pre-combustion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-zuivering, bestaande of nieuwe installatie, gasvormig transport, nieuwe transportleiding (art. 83.1.a.2⁰)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</si>
  <si>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installatie, gasvormig transport (art. 83.1.c.1⁰)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</si>
  <si>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installatie, gasvormig transport, nieuwe transportleiding (art. 83.1.c.2⁰)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</si>
  <si>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nieuwe installatie, gasvormig transport (art. 83.1.d.1⁰)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</si>
  <si>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nieuwe installatie, gasvormig transport, nieuwe transportleiding (art. 83.1.d.2⁰)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</si>
  <si>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 bij bestaande afvalverbrandingsinstallatie of bestaande biomassaverbrandingsinstallatie &gt; 50 MWth, gasvormig transport (art. 83.1.e.1⁰)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</si>
  <si>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 bij bestaande afvalverbrandingsinstallatie of bestaande biomassaverbrandingsinstallatie &gt; 50 MWth, gasvormig transport, nieuwe transportleiding (art. 83.1.e.2⁰)</t>
    </r>
  </si>
  <si>
    <t>CCU - Nieuwe post-combustion CO₂-afvang bij biomassaverbrandingsinstallatie ≤ 50 MWth, gasvormig (art. 83.1.f.1⁰)</t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</si>
  <si>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gebruik (CCU) 4.000 uur, vloeibaar (transport)</t>
    </r>
  </si>
  <si>
    <r>
      <t>CCU - Nieuwe pre-combustion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-zuivering, bestaande of nieuwe installatie, vloeibaar transport, nieuwe vervloeiingsinstallatie (art. 83.1.a.3⁰)</t>
    </r>
  </si>
  <si>
    <r>
      <t>Extra CCU - Bestaande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installatie, vloeibaar transport, nieuwe vervloeiingsinstallatie (art. 83.1.b)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</si>
  <si>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bestaande installatie, vloeibaar transport, nieuwe vervloeiingsinstallatie (art. 83.1.c.3⁰)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</si>
  <si>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-afvang, nieuwe installatie, vloeibaar transport, nieuwe vervloeiingsinstallatie (art. 83.1.d.3⁰)</t>
    </r>
  </si>
  <si>
    <r>
      <t>CCU - Nieuwe post-combustion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-afvang bij bestaande afvalverbrandingsinstallatie of bestaande biomassaverbrandingsinstallatie &gt; 50 MWth, vloeibaar transport, nieuwe vervloeiingsinstallatie (art. 83.1.e.3⁰)</t>
    </r>
  </si>
  <si>
    <t>CCU - Nieuwe post-combustion CO₂-afvang bij biomassaverbrandingsinstallatie ≤ 50 MWth, vloeibaar, nieuwe vervloeiingsinstallatie (art. 83.1.f.2⁰)</t>
  </si>
  <si>
    <r>
      <t>CO</t>
    </r>
    <r>
      <rPr>
        <b/>
        <vertAlign val="sub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>-afvang en gebruik (CCU) 4.000 uur, direct aircapture</t>
    </r>
  </si>
  <si>
    <r>
      <t>CCU -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afvang uit omgevingslucht voor gebruik in tuinbouwkassen (art. 85.1)</t>
    </r>
  </si>
  <si>
    <t xml:space="preserve">Voor deze categorie geldt een minimale COP eis voor de warmtepomp! </t>
  </si>
  <si>
    <t>Procesgeïntegreerde warmtepomp in een bestaand verdampingsproces (8000 uur)</t>
  </si>
  <si>
    <t>Procesgeïntegreerde warmtepomp in een bestaand verdampingsproces (5000 uur)</t>
  </si>
  <si>
    <t>Procesgeïntegreerde warmtepomp in een bestaand verdampingsproces (3000 uur)</t>
  </si>
  <si>
    <t>Procesgeïntegreerde warmtepomp met aanpassing van bestaand verdampingsproces (8000 uur)</t>
  </si>
  <si>
    <t>Procesgeïntegreerde warmtepomp met aanpassing van bestaand verdampingsproces (5000 uur)</t>
  </si>
  <si>
    <t>Procesgeïntegreerde warmtepomp met aanpassing van bestaand verdampingsproces (3000 uur)</t>
  </si>
  <si>
    <t>Procesgeïntegreerde warmtepomp in een verdampingsproces met laag dauwpunt</t>
  </si>
  <si>
    <t>Restwarmtebenutting (zonder warmtepomp), transportleiding &lt; 0,10 km/MWth</t>
  </si>
  <si>
    <t>CCS - Gedeeltelijke CO2-opslag bij bestaande biomassaverbrandingsinstallatie ≤ 100 MWe of uit omgevingslucht, gasvormig transport (art. 79.3.a.1⁰)</t>
  </si>
  <si>
    <t>CCS - Gedeeltelijke CO2-opslag bij bestaande biomassaverbrandingsinstallatie ≤ 100 MWe of uit omgevingslucht, vloeibaar transport, nieuwe vervloeiingsinstallatie (art. 79.3.a.2⁰)</t>
  </si>
  <si>
    <t>CCS - Gedeeltelijke CO2-opslag bij bestaande biomassaverbrandingsinstallatie ≤ 100 MWe of uit omgevingslucht, vloeibaar transport (art. 79.3.a.3⁰)</t>
  </si>
  <si>
    <t>CCS - Gedeeltelijke CO2-opslag biogene procesemissies, gasvormig transport (art. 79.4.a.1⁰)</t>
  </si>
  <si>
    <t>CCS - Gedeeltelijke CO2-opslag biogene procesemissies, vloeibaar transport, nieuwe vervloeiingsinstallatie (art. 79.4.a.2⁰)</t>
  </si>
  <si>
    <t>CCS - Gedeeltelijke CO2-opslag biogene procesemissies, vloeibaar transport (art. 79.4.a.3⁰)</t>
  </si>
  <si>
    <t>CCS - Nieuwe post-combustion CO2-afvang, bestaande biomassaverbrandingsinstallatie ≤ 100 MWe, gasvormig transport (art. 79.3.b.1⁰)</t>
  </si>
  <si>
    <t>CCS - Nieuwe post-combustion CO2-afvang, bestaande biomassaverbrandingsinstallatie ≤ 100 MWe, vloeibaar transport, nieuwe vervloeiingsinstallatie (art. 79.3.b.2⁰)</t>
  </si>
  <si>
    <t>CCS - Nieuwe zuivering biogene CO2-emissie, bestaande installatie, gasvormig transport (art. 79.4.b.1⁰)</t>
  </si>
  <si>
    <t>CCS - Nieuwe zuivering biogene CO2-emissie, bestaande installatie, vloeibaar transport, nieuwe vervloeiingsinstallatie (art. 79.4.b.2⁰)</t>
  </si>
  <si>
    <t>CCS - Nieuwe zuivering biogene CO2-emissie, nieuwe installatie, gasvormig transport (art. 79.4.c.1⁰)</t>
  </si>
  <si>
    <t>CCS - Nieuwe zuivering biogene CO2-emissie, nieuwe installatie, vloeibaar transport, nieuwe vervloeiingsinstallatie (art. 79.4.c.2⁰)</t>
  </si>
  <si>
    <t>CCS - Gedeeltelijke CO2-opslag bij bestaande afvalverbrandingsinstallaties, gasvormig transport (art. 79.2.a.1⁰)</t>
  </si>
  <si>
    <t>CCS - Gedeeltelijke CO2-opslag bij bestaande afvalverbrandingsinstallaties, vloeibaar transport, nieuwe vervloeiingsinstallatie (art. 79.2.a.2⁰)</t>
  </si>
  <si>
    <t>CCS - Gedeeltelijke CO2-opslag bij bestaande afvalverbrandingsinstallaties, vloeibaar transport (art. 79.2.a.3⁰)</t>
  </si>
  <si>
    <t>CCS - Nieuwe post-combustion CO2-afvang, bestaande afvalverbrandingsinstallatie, gasvormig transport (art. 79.2.b.1⁰)</t>
  </si>
  <si>
    <t>CCS - Nieuwe post-combustion CO2-afvang, bestaande afvalverbrandingsinstallatie, vloeibaar transport, nieuwe vervloeiingsinstallatie (art. 79.2.b.2⁰)</t>
  </si>
  <si>
    <t>CCS - Gedeeltelijke opslag van niet biogene CO2-procesemissie, gasvormig transport (art. 79.1.a.1⁰)</t>
  </si>
  <si>
    <t>CCS - Gedeeltelijke opslag van niet biogene CO2-procesemissie, vloeibaar transport, nieuwe vervloeiingsinstallatie (art. 79.1.a.2⁰)</t>
  </si>
  <si>
    <t>CCS - Gedeeltelijke opslag van niet biogene CO2-procesemissie, vloeibaar transport (art. 79.1.a.3⁰)</t>
  </si>
  <si>
    <t>CCS - Volledige CO2-opslag bij bestaande installaties, gasvormig transport (art. 79.1.b.1⁰)</t>
  </si>
  <si>
    <t xml:space="preserve">CCS - Volledige CO2-opslag bij bestaande installaties, vloeibaar transport, nieuwe vervloeiingsinstallatie (art. 79.1.b.2⁰) </t>
  </si>
  <si>
    <t>CCS - Nieuwe pre-combustion zuivering van niet biogene CO2-procesemissie, bestaande installatie, gasvormig transport (art. 79.1.c.1⁰)</t>
  </si>
  <si>
    <t>CCS - Nieuwe pre-combustion zuivering van niet biogene CO2-procesemissie, bestaande installatie, vloeibaar transport, nieuwe vervloeiingsinstallatie (art. 79.1.c.2⁰)</t>
  </si>
  <si>
    <t>CCS - Nieuwe pre-combustion CO2-zuivering, nieuwe installatie, gasvormig transport (art. 79.1.g.1⁰)</t>
  </si>
  <si>
    <t>CCS - Nieuwe pre-combustion CO2-zuivering, nieuwe installatie, vloeibaar transport, nieuwe vervloeiingsinstallatie (art. 79.1.g.2⁰)</t>
  </si>
  <si>
    <t>CCS - Nieuwe pre-combustion CO2-afvang bij nieuwe waterstofproductie uit restgassen voor ondervuring, gasvormig transport (art. 79.1.d.1⁰)</t>
  </si>
  <si>
    <t>CCS - Nieuwe pre-combustion CO2-afvang bij nieuwe waterstofproductie uit restgassen voor ondervuring, vloeibaar transport, nieuwe vervloeiingsinstallatie (art. 79.1.d.2⁰)</t>
  </si>
  <si>
    <t>CCS - Nieuwe post-combustion CO2-afvang, bestaande installatie, gasvormig transport (art. 79.1.f.1⁰)</t>
  </si>
  <si>
    <t xml:space="preserve">CCS - Nieuwe post-combustion CO2-afvang, bestaande installatie, vloeibaar transport, nieuwe vervloeiingsinstallatie(art. 79.1.f.2⁰) </t>
  </si>
  <si>
    <t>CCS - Nieuwe post-combustion CO2-afvang, nieuwe installatie, gasvormig transport (art. 79.1.h.1⁰)</t>
  </si>
  <si>
    <t>CCS - Nieuwe post-combustion CO2-afvang, nieuwe installatie, vloeibaar transport, nieuwe vervloeiingsinstallatie (art. 79.1.h.2⁰)</t>
  </si>
  <si>
    <t>CCS - Gedeeltelijke opslag niet biogene CO2-emissie bij bestaande of nieuwe installaties niet-ETS-bedrijf, gasvormig transport (art. 81.a.1⁰)</t>
  </si>
  <si>
    <t>CCS - Gedeeltelijke opslag niet biogene CO2-emissie bij bestaande of nieuwe installaties niet-ETS-bedrijf, vloeibaar transport, nieuwe vervloeiingsinstallatie (art. 81.a.2⁰)</t>
  </si>
  <si>
    <t>CCS - Gedeeltelijke opslag niet biogene CO2-emissie bij bestaande of nieuwe installaties niet-ETS-bedrijf, vloeibaar transport (art. 81.a.3⁰)</t>
  </si>
  <si>
    <t>CCS - Volledige opslag niet biogene CO2-emissie bij bestaande installaties niet-ETS-bedrijf, gasvormig transport (art. 81.b.1⁰)</t>
  </si>
  <si>
    <t>CCS - Volledige opslag niet biogene CO2-emissie bij bestaande installaties niet-ETS-bedrijf, vloeibaar transport, nieuwe vervloeiingsinstallatie (art. 81.b.2⁰)</t>
  </si>
  <si>
    <t>CCS - Nieuwe pre-combustion zuivering niet biogene CO2-emissie, bestaande installatie niet-ETS-bedrijf, gasvormig transport (art. 81.c.1⁰)</t>
  </si>
  <si>
    <t>CCS - Nieuwe pre-combustion zuivering niet biogene CO2-emissie, bestaande installatie niet-ETS-bedrijf, vloeibaar transport, nieuwe vervloeiingsinstallatie (art. 81.c.2⁰)</t>
  </si>
  <si>
    <t>CCS - Nieuwe pre-combustion zuivering niet biogene CO2-emissie, nieuwe installatie niet-ETS-bedrijf, gasvormig transport (art. 81.g.1⁰)</t>
  </si>
  <si>
    <t>CCS - Nieuwe pre-combustion zuivering niet biogene CO2-emissie, nieuwe installatie niet-ETS-bedrijf, vloeibaar transport, nieuwe vervloeiingsinstallatie (art. 81.g.2⁰)</t>
  </si>
  <si>
    <t>CCS - Nieuwe post-combustion CO2-afvang, bestaande installatie niet-ETS-bedrijf, gasvormig transport (art. 81.f.1⁰)</t>
  </si>
  <si>
    <t>CCS - Nieuwe post-combustion CO2-afvang, bestaande installatie niet-ETS-bedrijf, vloeibaar transport, nieuwe vervloeiingsinstallatie (art. 81.f.2⁰)</t>
  </si>
  <si>
    <t>CCS - Nieuwe post-combustion CO2-afvang, nieuwe installatie niet-ETS-bedrijf, gasvormig transport (art. 81.h.1⁰)</t>
  </si>
  <si>
    <t>CCS - Nieuwe post-combustion CO2-afvang, nieuwe installatie niet-ETS-bedrijf, vloeibaar transport, nieuwe vervloeiingsinstallatie (art. 81.h.2⁰)</t>
  </si>
  <si>
    <t>CCU - Nieuwe pre-combustion CO2-zuivering, bestaande of nieuwe installatie, gasvormig transport (art. 83.1.a.1⁰)</t>
  </si>
  <si>
    <t>CCU - Nieuwe pre-combustion CO2-zuivering, bestaande of nieuwe installatie, gasvormig transport, nieuwe transportleiding (art. 83.1.a.2⁰)</t>
  </si>
  <si>
    <t>CCU - Nieuwe post-combustion CO2-afvang, bestaande installatie, gasvormig transport (art. 83.1.c.1⁰)</t>
  </si>
  <si>
    <t>CCU - Nieuwe post-combustion CO2-afvang, bestaande installatie, gasvormig transport, nieuwe transportleiding (art. 83.1.c.2⁰)</t>
  </si>
  <si>
    <t>CCU - Nieuwe post-combustion CO2-afvang, nieuwe installatie, gasvormig transport (art. 83.1.d.1⁰)</t>
  </si>
  <si>
    <t>CCU - Nieuwe post-combustion CO2-afvang, nieuwe installatie, gasvormig transport, nieuwe transportleiding (art. 83.1.d.2⁰)</t>
  </si>
  <si>
    <t>CCU - Nieuwe post-combustion CO2-afvang bij bestaande afvalverbrandingsinstallatie of bestaande biomassaverbrandingsinstallatie &gt; 50 MWth, gasvormig transport (art. 83.1.e.1⁰)</t>
  </si>
  <si>
    <t>CCU - Nieuwe post-combustion CO2-afvang bij bestaande afvalverbrandingsinstallatie of bestaande biomassaverbrandingsinstallatie &gt; 50 MWth, gasvormig transport, nieuwe transportleiding (art. 83.1.e.2⁰)</t>
  </si>
  <si>
    <t>CCU - Nieuwe pre-combustion CO2-zuivering, bestaande of nieuwe installatie, vloeibaar transport, nieuwe vervloeiingsinstallatie (art. 83.1.a.3⁰)</t>
  </si>
  <si>
    <t>Extra CCU - Bestaande CO2-afvang, bestaande installatie, vloeibaar transport, nieuwe vervloeiingsinstallatie (art. 83.1.b)</t>
  </si>
  <si>
    <t>CCU - Nieuwe post-combustion CO2-afvang, bestaande installatie, vloeibaar transport, nieuwe vervloeiingsinstallatie (art. 83.1.c.3⁰)</t>
  </si>
  <si>
    <t>CCU - Nieuwe post-combustion CO2-afvang, nieuwe installatie, vloeibaar transport, nieuwe vervloeiingsinstallatie (art. 83.1.d.3⁰)</t>
  </si>
  <si>
    <t>CCU - Nieuwe post-combustion CO2-afvang bij bestaande afvalverbrandingsinstallatie of bestaande biomassaverbrandingsinstallatie &gt; 50 MWth, vloeibaar transport, nieuwe vervloeiingsinstallatie (art. 83.1.e.3⁰)</t>
  </si>
  <si>
    <t>CCU - CO2 afvang uit omgevingslucht voor gebruik in tuinbouwkassen (art. 85.1)</t>
  </si>
  <si>
    <t>Restwarmtebenutting met hogetemperatuur warmtepomp en transportleiding voor stadsverwarming</t>
  </si>
  <si>
    <t>CCS - Gedeeltelijke CO2-opslag bij bestaande biomassaverbrandingsinstallatie ≤ 100 MWe of uit omgevingslucht, vloeibaar transport, invoedpijplijn ≥ 20 Mton per jaar, gecontracteerde cap. ≤ 35% (art. 79.3.a.5⁰)</t>
  </si>
  <si>
    <t>CCS - Gedeeltelijke CO2-opslag biogene procesemissies, vloeibaar transport, nieuwe vervloeiingsinstallatie, invoedpijplijn ≥ 20 Mton per jaar, gecontracteerde cap. ≤ 35% (art. 79.4.a.4⁰)</t>
  </si>
  <si>
    <t>CCS - Gedeeltelijke CO2-opslag biogene procesemissies, vloeibaar transport, invoedpijplijn ≥ 20 Mton per jaar, gecontracteerde cap. ≤ 35% (art. 79.4.a.5⁰)</t>
  </si>
  <si>
    <t>CCS - Nieuwe post-combustion CO2-afvang, bestaande biomassaverbrandingsinstallatie ≤ 100 MWe of uit omgevingslucht, vloeibaar transport, nieuwe vervloeiingsinstallatie, invoedpijplijn ≥ 20 Mton per jaar, gecontracteerde cap. ≤ 35% (art. 79.3.b.3⁰)</t>
  </si>
  <si>
    <t>CCS - Nieuwe zuivering biogene CO2-emissie, bestaande installatie, vloeibaar transport, nieuwe vervloeiingsinstallatie, invoedpijplijn ≥ 20 Mton per jaar, gecontracteerde cap. ≤ 35% (art. 79.4.b.3⁰)</t>
  </si>
  <si>
    <t>CCS - Nieuwe zuivering biogene CO2-emissie, nieuwe installatie, vloeibaar transport, nieuwe vervloeiingsinstallatie, invoedpijplijn ≥ 20 Mton per jaar, gecontracteerde cap. ≤ 35% (art. 79.4.c.3⁰)</t>
  </si>
  <si>
    <t>CCS - Gedeeltelijke CO2-opslag bij bestaande afvalverbrandingsinstallaties, vloeibaar transport, nieuwe vervloeiingsinstallatie, invoedpijplijn ≥ 20 Mton per jaar, gecontracteerde cap. ≤ 35% (art. 79.2.a.4⁰)</t>
  </si>
  <si>
    <t>CCS - Gedeeltelijke CO2-opslag bij bestaande afvalverbrandingsinstallaties, vloeibaar transport, invoedpijplijn ≥ 20 Mton per jaar, gecontracteerde cap. ≤ 35% (art. 79.2.a.5⁰)</t>
  </si>
  <si>
    <t>CCS - Nieuwe post-combustion CO2-afvang, bestaande afvalverbrandingsinstallatie, vloeibaar transport, nieuwe vervloeiingsinstallatie, invoedpijplijn ≥ 20 Mton per jaar, gecontracteerde cap. ≤ 35% (art. 79.2.b.3⁰)</t>
  </si>
  <si>
    <t>CCS - Gedeeltelijke opslag van niet biogene CO2-procesemissie, vloeibaar transport van CO2, nieuwe vervloeiingsinstallatie, invoedpijplijn ≥ 20 Mton per jaar, gecontracteerde cap. ≤ 35% (art. 79.1.a.4⁰)</t>
  </si>
  <si>
    <t>CCS - Gedeeltelijke opslag van niet biogene CO2-procesemissie, vloeibaar transport van CO2, invoedpijplijn ≥ 20 Mton per jaar, gecontracteerde cap. ≤ 35% (art. 79.1.a.5⁰)</t>
  </si>
  <si>
    <t>CCS - Volledige CO2 opslag bij bestaande installaties, vloeibaar transport, nieuwe vervloeiingsinstallatie, invoedpijplijn ≥ 20 Mton per jaar, gecontracteerde cap. ≤ 35% (art. 79.1.b.3⁰)</t>
  </si>
  <si>
    <t>CCS - Nieuwe pre-combustion zuivering van niet biogene CO2-procesemissie, bestaande installatie, vloeibaar transport, nieuwe vervloeiingsinstallatie, invoedpijplijn ≥ 20 Mton per jaar, gecontracteerde cap. ≤ 35% (art. 79.1.c.3⁰)</t>
  </si>
  <si>
    <t>CCS - Nieuwe pre-combustion CO2 zuivering, nieuwe installatie, vloeibaar transport, nieuwe vervloeiingsinstallatie, invoedpijplijn ≥ 20 Mton per jaar, gecontracteerde cap. ≤ 35% (art. 79.1.g.3⁰)</t>
  </si>
  <si>
    <t>CCS - Nieuwe pre-combustion CO2 afvang bij nieuwe waterstofproductie uit restgassen voor ondervuring, vloeibaar transport, nieuwe vervloeiingsinstallatie, invoedpijplijn ≥ 20 Mton per jaar, gecontracteerde cap. ≤ 35% (art. 79.1.d.3⁰)</t>
  </si>
  <si>
    <t>CCS - Nieuwe pre-combustion CO2 afvang bij bestaande waterstofproductie uit restgassen voor ondervuring, vloeibaar transport, nieuwe vervloeiingsinstallatie, invoedpijplijn ≥ 20 Mton per jaar, gecontracteerde cap. ≤ 35% (art. 79.1.e.3⁰)</t>
  </si>
  <si>
    <t>CCS - Nieuwe post-combustion CO2 afvang, bestaande installatie, vloeibaar transport, nieuwe vervloeiingsinstallatie, invoedpijplijn ≥ 20 Mton per jaar, gecontracteerde cap. ≤ 35% (art. 79.1.f.3⁰)</t>
  </si>
  <si>
    <t>CCS - Nieuwe post-combustion CO2 afvang, nieuwe installatie, vloeibaar transport, nieuwe vervloeiingsinstallatie, invoedpijplijn ≥ 20 Mton per jaar, gecontracteerde cap. ≤ 35% (art. 79.1.h.3⁰)</t>
  </si>
  <si>
    <t>CCS - Gedeeltelijke opslag niet biogene CO2-emissie niet-ETS-bedrijf, vloeibaar transport, nieuwe vervloeiingsinstallatie, invoedpijplijn ≥ 20 Mton per jaar, gecontracteerde cap. ≤ 35% (art. 81.a.4⁰)</t>
  </si>
  <si>
    <t>CCS - Gedeeltelijke opslag niet biogene CO2-emissie niet-ETS-bedrijf, vloeibaar transport, invoedpijplijn ≥ 20 Mton per jaar, gecontracteerde cap. ≤ 35% (art. 81.a.5⁰)</t>
  </si>
  <si>
    <t>CCS - Volledige opslag niet biogene CO2-emissie bij bestaande installaties niet-ETS-bedrijf, vloeibaar transport, nieuwe vervloeiingsinstallatie, invoedpijplijn ≥ 20 Mton per jaar, gecontracteerde cap. ≤ 35% (art. 81.b.3⁰)</t>
  </si>
  <si>
    <t>CCS - Nieuwe pre-combustion zuivering niet biogene CO2-emissie, bestaande installatie niet-ETS-bedrijf, vloeibaar transport, nieuwe vervloeiingsinstallatie, invoedpijplijn ≥ 20 Mton per jaar, gecontracteerde cap. ≤ 35% (art. 81.c.3⁰)</t>
  </si>
  <si>
    <t>CCS - Nieuwe pre-combustion zuivering niet biogene CO2-emissie, nieuwe installatie niet-ETS-bedrijf, vloeibaar transport, nieuwe vervloeiingsinstallatie, invoedpijplijn ≥ 20 Mton per jaar, gecontracteerde cap. ≤ 35% (art. 81.g.3⁰)</t>
  </si>
  <si>
    <t>CCS - Nieuwe pre-combustion CO2-afvang bij nieuwe waterstofproductie uit restgassen voor ondervuring niet-ETS-bedrijf, vloeibaar transport, nieuwe vervloeiingsinstallatie, invoedpijplijn ≥ 20 Mton per jaar, gecontracteerde cap. ≤ 35% (art. 81.d.3⁰)</t>
  </si>
  <si>
    <t>CCS - Nieuwe pre-combustion CO2-afvang bij bestaande waterstofproductie uit restgassen voor ondervuring niet-ETS-bedrijf, vloeibaar transport, nieuwe vervloeiingsinstallatie, invoedpijplijn ≥ 20 Mton per jaar, gecontracteerde cap. ≤ 35% (art. 81.e.3⁰)</t>
  </si>
  <si>
    <t>CCS - Nieuwe post-combustion CO2-afvang, bestaande installatie niet-ETS-bedrijf, vloeibaar transport, nieuwe vervloeiingsinstallatie, invoedpijplijn ≥ 20 Mton per jaar, gecontracteerde cap. ≤ 35% (art. 81.f.3⁰)</t>
  </si>
  <si>
    <t>CCS - Nieuwe post-combustion CO2-afvang, nieuwe installatie niet-ETS-bedrijf, vloeibaar transport, nieuwe vervloeiingsinstallatie, invoedpijplijn ≥ 20 Mton per jaar, gecontracteerde cap. ≤ 35% (art. 81.h.3⁰)</t>
  </si>
  <si>
    <t>CCS - Gedeeltelijke CO2-opslag bij bestaande biomassaverbrandingsinstallatie ≤ 100 MWe of uit omgevingslucht, vloeibaar transport, nieuwe vervloeiingsinstallatie, invoedpijplijn ≥ 20 Mton per jaar, gecontracteerde cap. ≤ 35% (art. 79.3.a.4⁰)</t>
  </si>
  <si>
    <t>Ondiepe geothermie met warmtepomp (6000 vollasturen)</t>
  </si>
  <si>
    <t>Ondiepe geothermie met warmtepomp, verwarming gebouwde omgeving (3500 vollasturen)</t>
  </si>
  <si>
    <t>Diepe geothermie met warmtepomp, geen basislast, verwarming gebouwde omgeving</t>
  </si>
  <si>
    <t>Diepe geothermie met warmtepomp &lt; 12 MWth, basislast, verwarming gebouwde omgeving</t>
  </si>
  <si>
    <t>Diepe geothermie met warmtepomp ≥ 12 MWth, basislast, verwarming gebouwde omgeving</t>
  </si>
  <si>
    <t>Versie 2,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</si>
</sst>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_-* #,##0.00\-;_-* &quot;-&quot;??_-;_-@_-"/>
    <numFmt numFmtId="165" formatCode="#,##0.0"/>
    <numFmt numFmtId="166" formatCode="_-* #,##0_-;_-* #,##0\-;_-* &quot;-&quot;??_-;_-@_-"/>
    <numFmt numFmtId="167" formatCode="0.0%"/>
    <numFmt numFmtId="168" formatCode="0.0000"/>
    <numFmt numFmtId="169" formatCode="0.000"/>
    <numFmt numFmtId="170" formatCode="#,##0.000"/>
    <numFmt numFmtId="171" formatCode="0.0"/>
    <numFmt numFmtId="172" formatCode="#,##0.0000"/>
  </numFmts>
  <fonts count="3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b/>
      <sz val="14"/>
      <name val="Arial"/>
      <family val="2"/>
    </font>
    <font>
      <sz val="10"/>
      <name val="Calibri"/>
      <family val="2"/>
    </font>
    <font>
      <b/>
      <u/>
      <sz val="10"/>
      <name val="Arial"/>
      <family val="2"/>
    </font>
    <font>
      <b/>
      <vertAlign val="subscript"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vertAlign val="subscript"/>
      <sz val="10"/>
      <name val="Calibri"/>
      <family val="2"/>
    </font>
    <font>
      <b/>
      <sz val="10"/>
      <name val="Calibri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7.5"/>
      <name val="Arial"/>
      <family val="2"/>
    </font>
    <font>
      <sz val="5.65"/>
      <name val="Arial"/>
      <family val="2"/>
    </font>
    <font>
      <vertAlign val="sub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C000"/>
      <name val="Arial"/>
      <family val="2"/>
    </font>
    <font>
      <sz val="12"/>
      <color rgb="FFFFC00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24"/>
      <color rgb="FF154273"/>
      <name val="Arial"/>
      <family val="2"/>
    </font>
    <font>
      <b/>
      <sz val="14"/>
      <color rgb="FF15427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4" fontId="25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25" fillId="0" borderId="0"/>
  </cellStyleXfs>
  <cellXfs count="180">
    <xf numFmtId="0" fontId="0" fillId="0" borderId="0" xfId="0"/>
    <xf numFmtId="0" fontId="2" fillId="2" borderId="0" xfId="0" applyFont="1" applyFill="1"/>
    <xf numFmtId="0" fontId="0" fillId="2" borderId="0" xfId="0" applyFill="1"/>
    <xf numFmtId="165" fontId="0" fillId="2" borderId="0" xfId="0" applyNumberFormat="1" applyFill="1"/>
    <xf numFmtId="165" fontId="2" fillId="2" borderId="0" xfId="0" applyNumberFormat="1" applyFont="1" applyFill="1"/>
    <xf numFmtId="0" fontId="5" fillId="2" borderId="0" xfId="0" applyFont="1" applyFill="1"/>
    <xf numFmtId="3" fontId="2" fillId="2" borderId="0" xfId="0" applyNumberFormat="1" applyFont="1" applyFill="1"/>
    <xf numFmtId="169" fontId="0" fillId="2" borderId="0" xfId="0" applyNumberFormat="1" applyFill="1"/>
    <xf numFmtId="3" fontId="0" fillId="3" borderId="0" xfId="0" applyNumberFormat="1" applyFill="1"/>
    <xf numFmtId="165" fontId="0" fillId="3" borderId="0" xfId="0" applyNumberFormat="1" applyFill="1"/>
    <xf numFmtId="0" fontId="0" fillId="3" borderId="0" xfId="0" applyFill="1"/>
    <xf numFmtId="0" fontId="2" fillId="3" borderId="0" xfId="0" applyFont="1" applyFill="1"/>
    <xf numFmtId="0" fontId="7" fillId="3" borderId="0" xfId="0" applyFont="1" applyFill="1"/>
    <xf numFmtId="3" fontId="2" fillId="3" borderId="0" xfId="0" applyNumberFormat="1" applyFont="1" applyFill="1"/>
    <xf numFmtId="165" fontId="2" fillId="3" borderId="0" xfId="0" applyNumberFormat="1" applyFont="1" applyFill="1"/>
    <xf numFmtId="0" fontId="9" fillId="3" borderId="0" xfId="0" applyFont="1" applyFill="1"/>
    <xf numFmtId="167" fontId="0" fillId="3" borderId="0" xfId="0" applyNumberFormat="1" applyFill="1"/>
    <xf numFmtId="169" fontId="0" fillId="3" borderId="0" xfId="0" applyNumberFormat="1" applyFill="1"/>
    <xf numFmtId="0" fontId="26" fillId="3" borderId="0" xfId="0" applyFont="1" applyFill="1"/>
    <xf numFmtId="165" fontId="5" fillId="3" borderId="0" xfId="0" applyNumberFormat="1" applyFont="1" applyFill="1"/>
    <xf numFmtId="3" fontId="5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1" fontId="5" fillId="3" borderId="0" xfId="0" applyNumberFormat="1" applyFont="1" applyFill="1" applyAlignment="1">
      <alignment horizontal="right"/>
    </xf>
    <xf numFmtId="1" fontId="5" fillId="3" borderId="0" xfId="0" applyNumberFormat="1" applyFont="1" applyFill="1" applyAlignment="1">
      <alignment horizontal="left"/>
    </xf>
    <xf numFmtId="1" fontId="0" fillId="3" borderId="0" xfId="0" applyNumberFormat="1" applyFill="1" applyAlignment="1">
      <alignment horizontal="left"/>
    </xf>
    <xf numFmtId="1" fontId="5" fillId="3" borderId="0" xfId="0" applyNumberFormat="1" applyFont="1" applyFill="1"/>
    <xf numFmtId="0" fontId="27" fillId="3" borderId="0" xfId="0" applyFont="1" applyFill="1"/>
    <xf numFmtId="0" fontId="3" fillId="3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10" fontId="3" fillId="3" borderId="0" xfId="0" applyNumberFormat="1" applyFont="1" applyFill="1" applyAlignment="1">
      <alignment vertical="center"/>
    </xf>
    <xf numFmtId="3" fontId="3" fillId="3" borderId="0" xfId="3" applyNumberFormat="1" applyFont="1" applyFill="1" applyBorder="1" applyAlignment="1" applyProtection="1">
      <alignment vertical="center"/>
    </xf>
    <xf numFmtId="10" fontId="3" fillId="3" borderId="0" xfId="0" applyNumberFormat="1" applyFont="1" applyFill="1" applyAlignment="1">
      <alignment horizontal="right" vertical="center"/>
    </xf>
    <xf numFmtId="166" fontId="0" fillId="3" borderId="0" xfId="0" applyNumberFormat="1" applyFill="1"/>
    <xf numFmtId="2" fontId="2" fillId="3" borderId="0" xfId="0" applyNumberFormat="1" applyFont="1" applyFill="1" applyAlignment="1">
      <alignment horizontal="right"/>
    </xf>
    <xf numFmtId="2" fontId="3" fillId="3" borderId="0" xfId="0" applyNumberFormat="1" applyFont="1" applyFill="1" applyAlignment="1">
      <alignment horizontal="right" vertical="center"/>
    </xf>
    <xf numFmtId="0" fontId="2" fillId="0" borderId="0" xfId="0" applyFont="1"/>
    <xf numFmtId="0" fontId="26" fillId="2" borderId="0" xfId="0" applyFont="1" applyFill="1" applyAlignment="1">
      <alignment vertical="top"/>
    </xf>
    <xf numFmtId="49" fontId="5" fillId="3" borderId="0" xfId="0" applyNumberFormat="1" applyFont="1" applyFill="1"/>
    <xf numFmtId="10" fontId="0" fillId="3" borderId="0" xfId="0" applyNumberFormat="1" applyFill="1"/>
    <xf numFmtId="168" fontId="0" fillId="3" borderId="0" xfId="0" applyNumberFormat="1" applyFill="1"/>
    <xf numFmtId="167" fontId="5" fillId="3" borderId="0" xfId="0" applyNumberFormat="1" applyFont="1" applyFill="1"/>
    <xf numFmtId="0" fontId="1" fillId="0" borderId="0" xfId="0" applyFont="1"/>
    <xf numFmtId="0" fontId="26" fillId="3" borderId="0" xfId="0" applyFont="1" applyFill="1" applyAlignment="1">
      <alignment vertical="top"/>
    </xf>
    <xf numFmtId="0" fontId="1" fillId="2" borderId="0" xfId="0" applyFont="1" applyFill="1"/>
    <xf numFmtId="0" fontId="11" fillId="2" borderId="0" xfId="0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12" fillId="2" borderId="0" xfId="0" applyFont="1" applyFill="1"/>
    <xf numFmtId="0" fontId="26" fillId="0" borderId="0" xfId="0" applyFont="1"/>
    <xf numFmtId="0" fontId="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165" fontId="26" fillId="3" borderId="0" xfId="0" applyNumberFormat="1" applyFont="1" applyFill="1" applyAlignment="1">
      <alignment vertical="center" wrapText="1"/>
    </xf>
    <xf numFmtId="0" fontId="2" fillId="3" borderId="1" xfId="0" applyFont="1" applyFill="1" applyBorder="1"/>
    <xf numFmtId="49" fontId="13" fillId="2" borderId="0" xfId="0" applyNumberFormat="1" applyFont="1" applyFill="1"/>
    <xf numFmtId="0" fontId="8" fillId="0" borderId="0" xfId="0" applyFont="1"/>
    <xf numFmtId="0" fontId="8" fillId="2" borderId="0" xfId="0" applyFont="1" applyFill="1"/>
    <xf numFmtId="165" fontId="14" fillId="2" borderId="0" xfId="0" applyNumberFormat="1" applyFont="1" applyFill="1"/>
    <xf numFmtId="0" fontId="2" fillId="3" borderId="1" xfId="0" applyFont="1" applyFill="1" applyBorder="1" applyAlignment="1">
      <alignment vertical="center"/>
    </xf>
    <xf numFmtId="0" fontId="5" fillId="3" borderId="0" xfId="0" applyFont="1" applyFill="1"/>
    <xf numFmtId="169" fontId="2" fillId="3" borderId="2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172" fontId="0" fillId="3" borderId="3" xfId="0" applyNumberFormat="1" applyFill="1" applyBorder="1" applyAlignment="1">
      <alignment horizontal="center"/>
    </xf>
    <xf numFmtId="168" fontId="1" fillId="3" borderId="4" xfId="0" applyNumberFormat="1" applyFont="1" applyFill="1" applyBorder="1" applyAlignment="1">
      <alignment horizontal="center" vertical="center"/>
    </xf>
    <xf numFmtId="168" fontId="2" fillId="0" borderId="3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right"/>
    </xf>
    <xf numFmtId="0" fontId="25" fillId="3" borderId="0" xfId="0" applyFont="1" applyFill="1"/>
    <xf numFmtId="0" fontId="1" fillId="3" borderId="0" xfId="0" applyFont="1" applyFill="1"/>
    <xf numFmtId="0" fontId="2" fillId="3" borderId="3" xfId="0" applyFont="1" applyFill="1" applyBorder="1" applyAlignment="1">
      <alignment horizontal="center" vertical="center"/>
    </xf>
    <xf numFmtId="168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7" fillId="3" borderId="0" xfId="0" applyFont="1" applyFill="1" applyAlignment="1">
      <alignment vertical="center"/>
    </xf>
    <xf numFmtId="170" fontId="0" fillId="3" borderId="0" xfId="0" applyNumberForma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8" fontId="0" fillId="4" borderId="0" xfId="0" applyNumberFormat="1" applyFill="1"/>
    <xf numFmtId="168" fontId="1" fillId="3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169" fontId="2" fillId="3" borderId="4" xfId="0" applyNumberFormat="1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27" fillId="2" borderId="0" xfId="0" applyFont="1" applyFill="1"/>
    <xf numFmtId="0" fontId="2" fillId="4" borderId="0" xfId="0" applyFont="1" applyFill="1"/>
    <xf numFmtId="0" fontId="11" fillId="4" borderId="0" xfId="0" applyFont="1" applyFill="1"/>
    <xf numFmtId="0" fontId="7" fillId="4" borderId="0" xfId="0" applyFont="1" applyFill="1" applyAlignment="1">
      <alignment wrapText="1"/>
    </xf>
    <xf numFmtId="168" fontId="25" fillId="4" borderId="0" xfId="0" applyNumberFormat="1" applyFont="1" applyFill="1"/>
    <xf numFmtId="168" fontId="1" fillId="4" borderId="0" xfId="0" applyNumberFormat="1" applyFont="1" applyFill="1" applyAlignment="1">
      <alignment horizontal="right"/>
    </xf>
    <xf numFmtId="168" fontId="1" fillId="4" borderId="0" xfId="0" applyNumberFormat="1" applyFont="1" applyFill="1"/>
    <xf numFmtId="0" fontId="16" fillId="3" borderId="0" xfId="0" applyFont="1" applyFill="1"/>
    <xf numFmtId="0" fontId="17" fillId="3" borderId="0" xfId="0" applyFont="1" applyFill="1"/>
    <xf numFmtId="0" fontId="16" fillId="3" borderId="5" xfId="0" applyFont="1" applyFill="1" applyBorder="1" applyAlignment="1">
      <alignment vertical="center"/>
    </xf>
    <xf numFmtId="0" fontId="17" fillId="3" borderId="6" xfId="0" applyFont="1" applyFill="1" applyBorder="1" applyAlignment="1">
      <alignment horizontal="left"/>
    </xf>
    <xf numFmtId="0" fontId="12" fillId="2" borderId="0" xfId="0" applyFont="1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0" fontId="30" fillId="0" borderId="0" xfId="0" applyFont="1" applyAlignment="1">
      <alignment wrapText="1"/>
    </xf>
    <xf numFmtId="170" fontId="2" fillId="4" borderId="0" xfId="0" applyNumberFormat="1" applyFont="1" applyFill="1"/>
    <xf numFmtId="170" fontId="1" fillId="4" borderId="0" xfId="0" applyNumberFormat="1" applyFont="1" applyFill="1"/>
    <xf numFmtId="172" fontId="1" fillId="4" borderId="0" xfId="0" applyNumberFormat="1" applyFont="1" applyFill="1"/>
    <xf numFmtId="3" fontId="1" fillId="4" borderId="0" xfId="0" applyNumberFormat="1" applyFont="1" applyFill="1"/>
    <xf numFmtId="172" fontId="1" fillId="4" borderId="0" xfId="0" applyNumberFormat="1" applyFont="1" applyFill="1" applyAlignment="1">
      <alignment horizontal="right"/>
    </xf>
    <xf numFmtId="172" fontId="2" fillId="4" borderId="0" xfId="0" applyNumberFormat="1" applyFont="1" applyFill="1"/>
    <xf numFmtId="0" fontId="8" fillId="4" borderId="0" xfId="0" applyFont="1" applyFill="1"/>
    <xf numFmtId="172" fontId="2" fillId="4" borderId="0" xfId="0" applyNumberFormat="1" applyFont="1" applyFill="1" applyAlignment="1">
      <alignment horizontal="right"/>
    </xf>
    <xf numFmtId="0" fontId="1" fillId="3" borderId="0" xfId="0" applyFont="1" applyFill="1" applyAlignment="1">
      <alignment vertical="center"/>
    </xf>
    <xf numFmtId="169" fontId="1" fillId="4" borderId="0" xfId="0" applyNumberFormat="1" applyFont="1" applyFill="1"/>
    <xf numFmtId="0" fontId="1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168" fontId="25" fillId="4" borderId="0" xfId="0" applyNumberFormat="1" applyFont="1" applyFill="1" applyAlignment="1">
      <alignment horizontal="right"/>
    </xf>
    <xf numFmtId="0" fontId="32" fillId="4" borderId="0" xfId="0" applyFont="1" applyFill="1" applyAlignment="1">
      <alignment vertical="center"/>
    </xf>
    <xf numFmtId="0" fontId="31" fillId="4" borderId="0" xfId="0" applyFont="1" applyFill="1" applyAlignment="1">
      <alignment vertical="center"/>
    </xf>
    <xf numFmtId="0" fontId="33" fillId="4" borderId="0" xfId="0" applyFont="1" applyFill="1" applyAlignment="1">
      <alignment vertical="center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34" fillId="0" borderId="0" xfId="0" applyFont="1" applyAlignment="1">
      <alignment wrapText="1"/>
    </xf>
    <xf numFmtId="1" fontId="1" fillId="4" borderId="0" xfId="0" applyNumberFormat="1" applyFont="1" applyFill="1"/>
    <xf numFmtId="0" fontId="1" fillId="4" borderId="0" xfId="0" applyFont="1" applyFill="1" applyAlignment="1">
      <alignment horizontal="right"/>
    </xf>
    <xf numFmtId="172" fontId="1" fillId="0" borderId="0" xfId="0" applyNumberFormat="1" applyFont="1" applyAlignment="1">
      <alignment horizontal="left" vertical="center" wrapText="1"/>
    </xf>
    <xf numFmtId="0" fontId="7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" fillId="4" borderId="0" xfId="0" applyFont="1" applyFill="1" applyAlignment="1">
      <alignment horizontal="left"/>
    </xf>
    <xf numFmtId="170" fontId="1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vertical="center"/>
    </xf>
    <xf numFmtId="0" fontId="4" fillId="3" borderId="0" xfId="0" applyFont="1" applyFill="1"/>
    <xf numFmtId="0" fontId="35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36" fillId="3" borderId="0" xfId="0" applyFont="1" applyFill="1" applyAlignment="1">
      <alignment vertical="center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1" fontId="2" fillId="3" borderId="8" xfId="0" applyNumberFormat="1" applyFont="1" applyFill="1" applyBorder="1"/>
    <xf numFmtId="0" fontId="2" fillId="0" borderId="9" xfId="0" applyFont="1" applyBorder="1"/>
    <xf numFmtId="0" fontId="2" fillId="0" borderId="10" xfId="0" applyFont="1" applyBorder="1"/>
    <xf numFmtId="0" fontId="1" fillId="3" borderId="1" xfId="0" applyFont="1" applyFill="1" applyBorder="1"/>
    <xf numFmtId="0" fontId="0" fillId="0" borderId="1" xfId="0" applyBorder="1"/>
    <xf numFmtId="0" fontId="0" fillId="0" borderId="11" xfId="0" applyBorder="1"/>
    <xf numFmtId="0" fontId="17" fillId="3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3" borderId="0" xfId="0" applyFont="1" applyFill="1"/>
    <xf numFmtId="9" fontId="1" fillId="3" borderId="1" xfId="0" quotePrefix="1" applyNumberFormat="1" applyFont="1" applyFill="1" applyBorder="1"/>
    <xf numFmtId="9" fontId="1" fillId="3" borderId="0" xfId="0" quotePrefix="1" applyNumberFormat="1" applyFont="1" applyFill="1"/>
    <xf numFmtId="0" fontId="0" fillId="0" borderId="12" xfId="0" applyBorder="1"/>
    <xf numFmtId="0" fontId="1" fillId="3" borderId="9" xfId="0" applyFont="1" applyFill="1" applyBorder="1"/>
    <xf numFmtId="0" fontId="0" fillId="0" borderId="9" xfId="0" applyBorder="1"/>
    <xf numFmtId="0" fontId="0" fillId="0" borderId="10" xfId="0" applyBorder="1"/>
    <xf numFmtId="0" fontId="0" fillId="3" borderId="0" xfId="0" applyFill="1"/>
    <xf numFmtId="0" fontId="1" fillId="2" borderId="5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 wrapText="1"/>
    </xf>
    <xf numFmtId="0" fontId="16" fillId="2" borderId="5" xfId="0" applyFont="1" applyFill="1" applyBorder="1"/>
    <xf numFmtId="0" fontId="17" fillId="0" borderId="6" xfId="0" applyFont="1" applyBorder="1"/>
    <xf numFmtId="0" fontId="17" fillId="0" borderId="7" xfId="0" applyFont="1" applyBorder="1"/>
    <xf numFmtId="165" fontId="2" fillId="3" borderId="0" xfId="0" applyNumberFormat="1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165" fontId="2" fillId="3" borderId="0" xfId="0" applyNumberFormat="1" applyFont="1" applyFill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5">
    <cellStyle name="Komma 2" xfId="1" xr:uid="{99CD0989-7869-476C-9960-F5A4F88090D1}"/>
    <cellStyle name="Normal 2" xfId="2" xr:uid="{4481A275-F0AC-40C1-9F04-047AF03A46B4}"/>
    <cellStyle name="Procent" xfId="3" builtinId="5"/>
    <cellStyle name="Standaard" xfId="0" builtinId="0"/>
    <cellStyle name="Standaard 2" xfId="4" xr:uid="{7F0B9BA8-871A-4C6C-A1C7-606F533BD905}"/>
  </cellStyles>
  <dxfs count="0"/>
  <tableStyles count="0" defaultTableStyle="TableStyleMedium2" defaultPivotStyle="PivotStyleLight16"/>
  <colors>
    <mruColors>
      <color rgb="FF154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ist" dx="22" fmlaLink="Hulpblad!$B$7" fmlaRange="Hulpblad!$B$2:$B$6" sel="1" val="0"/>
</file>

<file path=xl/ctrlProps/ctrlProp2.xml><?xml version="1.0" encoding="utf-8"?>
<formControlPr xmlns="http://schemas.microsoft.com/office/spreadsheetml/2009/9/main" objectType="List" dx="22" fmlaLink="Hulpblad!$C$29" fmlaRange="Hulpblad!$C$16:$C$28" sel="1" val="0"/>
</file>

<file path=xl/ctrlProps/ctrlProp3.xml><?xml version="1.0" encoding="utf-8"?>
<formControlPr xmlns="http://schemas.microsoft.com/office/spreadsheetml/2009/9/main" objectType="List" dx="22" fmlaLink="Hulpblad!$C$82" fmlaRange="Hulpblad!$C$60:$C$8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0</xdr:rowOff>
    </xdr:from>
    <xdr:to>
      <xdr:col>5</xdr:col>
      <xdr:colOff>4048125</xdr:colOff>
      <xdr:row>0</xdr:row>
      <xdr:rowOff>1047750</xdr:rowOff>
    </xdr:to>
    <xdr:pic>
      <xdr:nvPicPr>
        <xdr:cNvPr id="31282" name="Picture 1575" descr="logo rijksdienst voor ondernemend nederland">
          <a:extLst>
            <a:ext uri="{FF2B5EF4-FFF2-40B4-BE49-F238E27FC236}">
              <a16:creationId xmlns:a16="http://schemas.microsoft.com/office/drawing/2014/main" id="{1E428362-92CF-11B1-11DB-9EF271F1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0"/>
          <a:ext cx="43243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38100</xdr:rowOff>
        </xdr:from>
        <xdr:to>
          <xdr:col>6</xdr:col>
          <xdr:colOff>0</xdr:colOff>
          <xdr:row>6</xdr:row>
          <xdr:rowOff>742950</xdr:rowOff>
        </xdr:to>
        <xdr:sp macro="" textlink="">
          <xdr:nvSpPr>
            <xdr:cNvPr id="7177" name="List Box 9" descr="Hier staan de volgende hoofdthem's van de productie installaties:&#10;Hernieuwbare elektriciteit,&#10;Hernieuwbare gas, hernieuwbare warmte (en gecombineerde opwekking) co2-arme warmte en co2-arme productie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19050</xdr:rowOff>
        </xdr:from>
        <xdr:to>
          <xdr:col>6</xdr:col>
          <xdr:colOff>0</xdr:colOff>
          <xdr:row>7</xdr:row>
          <xdr:rowOff>1800225</xdr:rowOff>
        </xdr:to>
        <xdr:sp macro="" textlink="">
          <xdr:nvSpPr>
            <xdr:cNvPr id="7178" name="List Box 10" descr="Hier staat de indeling subthema's productie installaties: wind en zon-pv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4219575</xdr:colOff>
          <xdr:row>8</xdr:row>
          <xdr:rowOff>28575</xdr:rowOff>
        </xdr:from>
        <xdr:to>
          <xdr:col>6</xdr:col>
          <xdr:colOff>0</xdr:colOff>
          <xdr:row>8</xdr:row>
          <xdr:rowOff>2771775</xdr:rowOff>
        </xdr:to>
        <xdr:sp macro="" textlink="">
          <xdr:nvSpPr>
            <xdr:cNvPr id="7179" name="List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F_P_CW_tcn.cicwp.nl\userdata_cifs_p_cw_tcn_001\rvo\Kluis_Beleidsadvisering_SDE_MEP\2026\Haalbaarheidsstudie%20SDE++2026\260701%20Model%20haalbaarheidsstudie%20SDE++2026%20werkvers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instructie_disclaimer"/>
      <sheetName val="Financiering_en_projectplan"/>
      <sheetName val="Productie_en_afzet"/>
      <sheetName val="Exploitatieberekening"/>
      <sheetName val="Overzicht bijlagen"/>
      <sheetName val="Hulpblad_categorieën_parameters"/>
      <sheetName val="Hulpblad_overig"/>
      <sheetName val="Alternat.rendementsberekening"/>
    </sheetNames>
    <sheetDataSet>
      <sheetData sheetId="0"/>
      <sheetData sheetId="1"/>
      <sheetData sheetId="2">
        <row r="17">
          <cell r="D17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DFC1C-A529-4845-812E-F0947AEF8AA4}">
  <sheetPr codeName="Blad3">
    <pageSetUpPr fitToPage="1"/>
  </sheetPr>
  <dimension ref="A1:R132"/>
  <sheetViews>
    <sheetView showGridLines="0" topLeftCell="A9" zoomScaleNormal="100" workbookViewId="0">
      <selection activeCell="G22" activeCellId="1" sqref="G9 G22"/>
    </sheetView>
  </sheetViews>
  <sheetFormatPr defaultColWidth="0" defaultRowHeight="12.75" zeroHeight="1" x14ac:dyDescent="0.2"/>
  <cols>
    <col min="1" max="1" width="63.28515625" style="2" customWidth="1"/>
    <col min="2" max="2" width="8.5703125" style="1" customWidth="1"/>
    <col min="3" max="3" width="25.7109375" style="1" customWidth="1"/>
    <col min="4" max="4" width="23.140625" style="2" customWidth="1"/>
    <col min="5" max="5" width="16.85546875" style="2" customWidth="1"/>
    <col min="6" max="6" width="133.5703125" style="2" customWidth="1"/>
    <col min="7" max="7" width="10.85546875" style="2" customWidth="1"/>
    <col min="8" max="13" width="12.7109375" style="2" hidden="1" customWidth="1"/>
    <col min="14" max="14" width="13.7109375" style="2" hidden="1" customWidth="1"/>
    <col min="15" max="15" width="12.42578125" style="2" hidden="1" customWidth="1"/>
    <col min="16" max="16384" width="0" style="2" hidden="1"/>
  </cols>
  <sheetData>
    <row r="1" spans="1:15" s="10" customFormat="1" ht="92.25" customHeight="1" x14ac:dyDescent="0.6">
      <c r="A1" s="138"/>
      <c r="B1" s="11"/>
      <c r="C1" s="11"/>
      <c r="H1" s="139"/>
    </row>
    <row r="2" spans="1:15" ht="75.75" customHeight="1" x14ac:dyDescent="0.2">
      <c r="A2" s="140" t="s">
        <v>178</v>
      </c>
    </row>
    <row r="3" spans="1:15" ht="43.5" customHeight="1" x14ac:dyDescent="0.2">
      <c r="A3" s="141" t="s">
        <v>417</v>
      </c>
    </row>
    <row r="4" spans="1:15" ht="22.5" customHeight="1" x14ac:dyDescent="0.2">
      <c r="A4" s="45" t="s">
        <v>59</v>
      </c>
    </row>
    <row r="5" spans="1:15" ht="81" customHeight="1" x14ac:dyDescent="0.2">
      <c r="A5" s="145" t="s">
        <v>179</v>
      </c>
      <c r="B5" s="146"/>
      <c r="C5" s="146"/>
      <c r="D5" s="146"/>
      <c r="E5" s="146"/>
      <c r="F5" s="146"/>
    </row>
    <row r="6" spans="1:15" x14ac:dyDescent="0.2">
      <c r="B6" s="59"/>
      <c r="C6" s="59"/>
      <c r="D6" s="59"/>
      <c r="E6" s="59"/>
      <c r="F6" s="59"/>
    </row>
    <row r="7" spans="1:15" ht="78" customHeight="1" x14ac:dyDescent="0.2">
      <c r="A7" s="46" t="s">
        <v>42</v>
      </c>
      <c r="B7" s="161"/>
      <c r="C7" s="148"/>
      <c r="D7" s="148"/>
      <c r="E7" s="148"/>
      <c r="F7" s="148"/>
    </row>
    <row r="8" spans="1:15" ht="164.25" customHeight="1" x14ac:dyDescent="0.2">
      <c r="A8" s="46" t="s">
        <v>43</v>
      </c>
      <c r="B8" s="161"/>
      <c r="C8" s="148"/>
      <c r="D8" s="148"/>
      <c r="E8" s="148"/>
      <c r="F8" s="148"/>
      <c r="G8" s="37" t="str">
        <f>IF(Hulpblad!D29="","U moet nog een subthema productie-installaties kiezen!","")</f>
        <v/>
      </c>
    </row>
    <row r="9" spans="1:15" ht="241.5" customHeight="1" x14ac:dyDescent="0.2">
      <c r="A9" s="46" t="s">
        <v>44</v>
      </c>
      <c r="B9" s="161"/>
      <c r="C9" s="161"/>
      <c r="D9" s="161"/>
      <c r="E9" s="161"/>
      <c r="F9" s="161"/>
      <c r="G9" s="43" t="str">
        <f>IF(Hulpblad!D82="","U moet nog een categorie kiezen!","")</f>
        <v/>
      </c>
      <c r="H9" s="56"/>
    </row>
    <row r="10" spans="1:15" s="1" customFormat="1" ht="15" x14ac:dyDescent="0.25">
      <c r="A10" s="47" t="s">
        <v>24</v>
      </c>
      <c r="B10" s="171" t="str">
        <f>Hulpblad!D82</f>
        <v>Wind op land ≥ 8,0 m/s</v>
      </c>
      <c r="C10" s="172"/>
      <c r="D10" s="172"/>
      <c r="E10" s="172"/>
      <c r="F10" s="173"/>
      <c r="G10" s="14"/>
      <c r="H10" s="4"/>
      <c r="I10" s="4"/>
      <c r="J10" s="4"/>
      <c r="K10" s="4"/>
      <c r="L10" s="4"/>
      <c r="M10" s="4"/>
      <c r="N10" s="4"/>
      <c r="O10" s="4"/>
    </row>
    <row r="11" spans="1:15" s="1" customFormat="1" ht="15" x14ac:dyDescent="0.25">
      <c r="A11" s="47"/>
      <c r="B11" s="94"/>
      <c r="C11" s="95"/>
      <c r="D11" s="95"/>
      <c r="E11" s="95"/>
      <c r="F11" s="95"/>
      <c r="G11" s="14"/>
      <c r="H11" s="4"/>
      <c r="I11" s="4"/>
      <c r="J11" s="4"/>
      <c r="K11" s="4"/>
      <c r="L11" s="4"/>
      <c r="M11" s="4"/>
      <c r="N11" s="4"/>
      <c r="O11" s="4"/>
    </row>
    <row r="12" spans="1:15" s="1" customFormat="1" ht="30" customHeight="1" x14ac:dyDescent="0.2">
      <c r="A12" s="98" t="s">
        <v>115</v>
      </c>
      <c r="B12" s="96" t="str">
        <f>IF(VLOOKUP(B10,Hulpblad!A88:P349,13,FALSE)="","N.v.t.",VLOOKUP(B10,Hulpblad!A88:P349,13,FALSE))</f>
        <v>N.v.t.</v>
      </c>
      <c r="C12" s="97"/>
      <c r="D12" s="159" t="str">
        <f>IF(B12="N.v.t.","Deze categorie valt buiten de in de regeling vastgestelde domeinen","Voor domeincategorieën wordt in fase 5 de fasegrens verhoogd van max. 300 €/ton tot max. 400 €/ton.  De subsidie-intensiteit van het aanvraagbedrag kan echter nooit hoger liggen dan de subsidie-intensiteit behorende bij het maximum basisbedrag.")</f>
        <v>Deze categorie valt buiten de in de regeling vastgestelde domeinen</v>
      </c>
      <c r="E12" s="159"/>
      <c r="F12" s="160"/>
      <c r="G12" s="14"/>
      <c r="H12" s="4"/>
      <c r="I12" s="4"/>
      <c r="J12" s="4"/>
      <c r="K12" s="4"/>
      <c r="L12" s="4"/>
      <c r="M12" s="4"/>
      <c r="N12" s="4"/>
      <c r="O12" s="4"/>
    </row>
    <row r="13" spans="1:15" s="1" customFormat="1" x14ac:dyDescent="0.2">
      <c r="B13" s="11"/>
      <c r="C13" s="11"/>
      <c r="D13" s="10"/>
      <c r="E13" s="10"/>
      <c r="F13" s="10"/>
      <c r="G13" s="14"/>
      <c r="H13" s="4"/>
      <c r="I13" s="4"/>
      <c r="J13" s="4"/>
      <c r="K13" s="4"/>
      <c r="L13" s="4"/>
      <c r="M13" s="4"/>
      <c r="N13" s="4"/>
      <c r="O13" s="4"/>
    </row>
    <row r="14" spans="1:15" s="1" customFormat="1" ht="15" x14ac:dyDescent="0.25">
      <c r="A14" s="47" t="s">
        <v>25</v>
      </c>
      <c r="B14" s="11"/>
      <c r="C14" s="11"/>
      <c r="D14" s="10"/>
      <c r="E14" s="10"/>
      <c r="F14" s="10"/>
      <c r="G14" s="14"/>
      <c r="H14" s="4"/>
      <c r="I14" s="4"/>
      <c r="J14" s="4"/>
      <c r="K14" s="4"/>
      <c r="L14" s="4"/>
      <c r="M14" s="4"/>
      <c r="N14" s="4"/>
      <c r="O14" s="4"/>
    </row>
    <row r="15" spans="1:15" s="1" customFormat="1" x14ac:dyDescent="0.2">
      <c r="A15" s="44" t="s">
        <v>26</v>
      </c>
      <c r="B15" s="78">
        <f>VLOOKUP(B10,Hulpblad!A88:P349,2,FALSE)</f>
        <v>6.5199999999999994E-2</v>
      </c>
      <c r="C15" s="156" t="str">
        <f>IF(VLOOKUP(B10,Hulpblad!A88:P349,12,FALSE)="ton CO₂","  €/ton CO₂","  €/kWh  ("&amp;(B15*1000)&amp;"  €/MWh)")</f>
        <v xml:space="preserve">  €/kWh  (65,2  €/MWh)</v>
      </c>
      <c r="D15" s="157"/>
      <c r="E15" s="157"/>
      <c r="F15" s="158"/>
      <c r="G15" s="87"/>
      <c r="H15" s="4"/>
      <c r="I15" s="4"/>
      <c r="J15" s="4"/>
      <c r="K15" s="4"/>
      <c r="L15" s="4"/>
      <c r="M15" s="4"/>
      <c r="N15" s="4"/>
      <c r="O15" s="4"/>
    </row>
    <row r="16" spans="1:15" s="1" customFormat="1" ht="14.25" x14ac:dyDescent="0.25">
      <c r="A16" s="44" t="s">
        <v>29</v>
      </c>
      <c r="B16" s="63">
        <f>VLOOKUP(B10,Hulpblad!A88:P349,4,FALSE)</f>
        <v>5.9400000000000001E-2</v>
      </c>
      <c r="C16" s="168" t="str">
        <f>IF(VLOOKUP(B10,Hulpblad!A88:P349,12,FALSE)="ton CO₂","  €/ton CO₂","  €/kWh  ("&amp;B16*1000&amp;"  €/MWh)")</f>
        <v xml:space="preserve">  €/kWh  (59,4  €/MWh)</v>
      </c>
      <c r="D16" s="148"/>
      <c r="E16" s="148"/>
      <c r="F16" s="164"/>
      <c r="H16" s="54"/>
      <c r="I16" s="4"/>
      <c r="J16" s="4"/>
      <c r="K16" s="4"/>
      <c r="L16" s="4"/>
      <c r="M16" s="4"/>
      <c r="N16" s="4"/>
      <c r="O16" s="4"/>
    </row>
    <row r="17" spans="1:15" s="1" customFormat="1" x14ac:dyDescent="0.2">
      <c r="A17" s="44" t="s">
        <v>27</v>
      </c>
      <c r="B17" s="63">
        <f>VLOOKUP(B10,Hulpblad!A88:P349,5,FALSE)</f>
        <v>0.11070000000000001</v>
      </c>
      <c r="C17" s="165" t="str">
        <f>IF(VLOOKUP(B10,Hulpblad!A88:P349,12,FALSE)="ton CO₂","  kg CO₂/ton CO₂","  kg CO₂/kWh  ("&amp;B17*1000&amp;"  kg CO₂/MWh)")</f>
        <v xml:space="preserve">  kg CO₂/kWh  (110,7  kg CO₂/MWh)</v>
      </c>
      <c r="D17" s="166"/>
      <c r="E17" s="166"/>
      <c r="F17" s="167"/>
      <c r="G17" s="14"/>
      <c r="H17" s="57"/>
      <c r="I17" s="4"/>
      <c r="J17" s="4"/>
      <c r="K17" s="4"/>
      <c r="L17" s="4"/>
      <c r="M17" s="4"/>
      <c r="N17" s="4"/>
      <c r="O17" s="4"/>
    </row>
    <row r="18" spans="1:15" s="1" customFormat="1" ht="14.25" x14ac:dyDescent="0.25">
      <c r="A18" s="44" t="s">
        <v>28</v>
      </c>
      <c r="B18" s="60">
        <f>ROUND(((B15-B16)*1000/B17),3)</f>
        <v>52.393999999999998</v>
      </c>
      <c r="C18" s="53" t="s">
        <v>51</v>
      </c>
      <c r="D18" s="162" t="s">
        <v>58</v>
      </c>
      <c r="E18" s="162"/>
      <c r="F18" s="158"/>
      <c r="G18" s="174" t="str">
        <f>IF(B18&lt;=0,"Het rangschikkingsbedrag gaat uit van de verwachte subsidiebehoefte en kan negatief of nul zijn. De werkelijke subsidiebehoefte gedurende de subsidielooptijd kan afwijken. U kunt bij negatieve rangschikkingsbedragen daarom nog steeds subsidie aanvragen!","")</f>
        <v/>
      </c>
      <c r="H18" s="4"/>
      <c r="I18" s="4"/>
      <c r="J18" s="4"/>
      <c r="K18" s="4"/>
      <c r="L18" s="4"/>
      <c r="M18" s="4"/>
      <c r="N18" s="4"/>
      <c r="O18" s="4"/>
    </row>
    <row r="19" spans="1:15" s="1" customFormat="1" x14ac:dyDescent="0.2">
      <c r="A19" s="44" t="s">
        <v>116</v>
      </c>
      <c r="B19" s="153" t="str">
        <f>"Fase  "&amp;IF(B15&lt;=F28,B28,IF(B15&lt;=F29,B29,IF(B15&lt;=F30,B30,IF(B15&lt;=F31,B31,IF(B15&lt;=F32,B32,"")&amp;""))))</f>
        <v>Fase  1</v>
      </c>
      <c r="C19" s="154"/>
      <c r="D19" s="154"/>
      <c r="E19" s="154"/>
      <c r="F19" s="155"/>
      <c r="G19" s="175"/>
      <c r="H19" s="4"/>
      <c r="I19" s="4"/>
      <c r="J19" s="4"/>
      <c r="K19" s="4"/>
      <c r="L19" s="4"/>
      <c r="M19" s="4"/>
      <c r="N19" s="4"/>
      <c r="O19" s="4"/>
    </row>
    <row r="20" spans="1:15" s="1" customFormat="1" x14ac:dyDescent="0.2">
      <c r="A20" s="5"/>
      <c r="B20" s="11"/>
      <c r="C20" s="11"/>
      <c r="D20" s="10"/>
      <c r="E20" s="10"/>
      <c r="F20" s="8"/>
      <c r="G20" s="176"/>
      <c r="H20" s="4"/>
      <c r="I20" s="4"/>
      <c r="J20" s="4"/>
      <c r="K20" s="4"/>
      <c r="L20" s="4"/>
      <c r="M20" s="4"/>
      <c r="N20" s="4"/>
      <c r="O20" s="4"/>
    </row>
    <row r="21" spans="1:15" s="1" customFormat="1" ht="15" x14ac:dyDescent="0.25">
      <c r="A21" s="47" t="s">
        <v>56</v>
      </c>
      <c r="B21" s="11"/>
      <c r="C21" s="11"/>
      <c r="D21" s="10"/>
      <c r="E21" s="10"/>
      <c r="F21" s="39"/>
      <c r="G21" s="14"/>
      <c r="H21" s="4"/>
      <c r="I21" s="4"/>
      <c r="J21" s="4"/>
      <c r="K21" s="4"/>
      <c r="L21" s="4"/>
      <c r="M21" s="4"/>
      <c r="N21" s="4"/>
      <c r="O21" s="4"/>
    </row>
    <row r="22" spans="1:15" s="1" customFormat="1" ht="29.25" customHeight="1" x14ac:dyDescent="0.2">
      <c r="A22" s="51" t="s">
        <v>57</v>
      </c>
      <c r="B22" s="64"/>
      <c r="C22" s="58" t="str">
        <f>IF(VLOOKUP(B10,Hulpblad!A88:P349,12,FALSE)="ton CO₂","  €/ton CO₂","  €/kWh  ("&amp;B22*1000&amp;"  €/MWh)")</f>
        <v xml:space="preserve">  €/kWh  (0  €/MWh)</v>
      </c>
      <c r="D22" s="178" t="str">
        <f>"(Het bedrag waarvoor u wilt aanvragen ligt boven de bodemprijs van "&amp;VLOOKUP(B10,Hulpblad!A84:P332,3,FALSE)&amp;""&amp;IF(VLOOKUP(B10,Hulpblad!A84:P332,12,FALSE)="ton CO₂","  €/ton CO₂","  €/kWh")&amp;" en bedraagt maximaal het basisbedrag van "&amp;B15&amp;""&amp;IF(VLOOKUP(B10,Hulpblad!A84:P332,12,FALSE)="ton CO₂","  €/ton CO₂","  €/kWh")&amp;")"</f>
        <v>(Het bedrag waarvoor u wilt aanvragen ligt boven de bodemprijs van 0,0383  €/kWh en bedraagt maximaal het basisbedrag van 0,0652  €/kWh)</v>
      </c>
      <c r="E22" s="178"/>
      <c r="F22" s="179"/>
      <c r="G22" s="52" t="str">
        <f>IF(AND(B22&lt;=B15,B22&gt;VLOOKUP(B10,Hulpblad!A88:P349,3,FALSE)),"","Het aanvraagbedrag moet hoger zijn dan het bodembedrag en ten hoogste gelijk zijn aan het maximum basisbedrag!")</f>
        <v>Het aanvraagbedrag moet hoger zijn dan het bodembedrag en ten hoogste gelijk zijn aan het maximum basisbedrag!</v>
      </c>
      <c r="H22" s="170"/>
      <c r="I22" s="4"/>
      <c r="J22" s="4"/>
      <c r="K22" s="4"/>
      <c r="L22" s="4"/>
      <c r="M22" s="4"/>
      <c r="N22" s="4"/>
      <c r="O22" s="4"/>
    </row>
    <row r="23" spans="1:15" s="1" customFormat="1" ht="12.75" customHeight="1" x14ac:dyDescent="0.2">
      <c r="A23" s="44" t="s">
        <v>61</v>
      </c>
      <c r="B23" s="80">
        <f>ROUND(((ROUND(B22,4)-B16)*1000/B17),3)</f>
        <v>-536.58500000000004</v>
      </c>
      <c r="C23" s="11" t="s">
        <v>52</v>
      </c>
      <c r="D23" s="163" t="s">
        <v>60</v>
      </c>
      <c r="E23" s="163"/>
      <c r="F23" s="164"/>
      <c r="G23" s="177" t="str">
        <f>IF(B23&lt;=0,"Het rangschikkingsbedrag gaat uit van de verwachte subsidiebehoefte en kan negatief of nul zijn. De werkelijke subsidiebehoefte gedurende de subsidielooptijd kan afwijken. U kunt bij negatieve rangschikkingsbedragen daarom nog steeds subsidie aanvragen!","")</f>
        <v>Het rangschikkingsbedrag gaat uit van de verwachte subsidiebehoefte en kan negatief of nul zijn. De werkelijke subsidiebehoefte gedurende de subsidielooptijd kan afwijken. U kunt bij negatieve rangschikkingsbedragen daarom nog steeds subsidie aanvragen!</v>
      </c>
      <c r="H23" s="146"/>
      <c r="I23" s="4"/>
      <c r="J23" s="4"/>
      <c r="K23" s="4"/>
      <c r="L23" s="4"/>
      <c r="M23" s="4"/>
      <c r="N23" s="4"/>
      <c r="O23" s="4"/>
    </row>
    <row r="24" spans="1:15" s="1" customFormat="1" ht="12.75" customHeight="1" x14ac:dyDescent="0.2">
      <c r="A24" s="44" t="s">
        <v>117</v>
      </c>
      <c r="B24" s="153" t="str">
        <f>"Fase  "&amp;IF(B22&lt;=F28,B28,IF(B22&lt;=F29,B29,IF(B22&lt;=F30,B30,IF(B22&lt;=F31,B31,IF(B22&lt;=F32,B32,"")&amp;""))))</f>
        <v>Fase  1</v>
      </c>
      <c r="C24" s="154"/>
      <c r="D24" s="154"/>
      <c r="E24" s="154"/>
      <c r="F24" s="155"/>
      <c r="G24" s="146"/>
      <c r="H24" s="4"/>
      <c r="I24" s="4"/>
      <c r="J24" s="4"/>
      <c r="K24" s="4"/>
      <c r="L24" s="4"/>
      <c r="M24" s="4"/>
      <c r="N24" s="4"/>
      <c r="O24" s="4"/>
    </row>
    <row r="25" spans="1:15" ht="12.75" customHeight="1" x14ac:dyDescent="0.2">
      <c r="A25" s="5"/>
      <c r="B25" s="11"/>
      <c r="C25" s="11"/>
      <c r="D25" s="10"/>
      <c r="E25" s="10"/>
      <c r="F25" s="40"/>
      <c r="G25" s="146"/>
      <c r="H25" s="3"/>
      <c r="I25" s="3"/>
      <c r="J25" s="3"/>
      <c r="K25" s="3"/>
      <c r="L25" s="3"/>
      <c r="M25" s="3"/>
      <c r="N25" s="3"/>
    </row>
    <row r="26" spans="1:15" ht="12.75" customHeight="1" x14ac:dyDescent="0.2">
      <c r="A26" s="5"/>
      <c r="B26" s="11"/>
      <c r="C26" s="11"/>
      <c r="D26" s="10"/>
      <c r="E26" s="10"/>
      <c r="F26" s="40"/>
      <c r="G26" s="9"/>
      <c r="H26" s="3"/>
      <c r="I26" s="3"/>
      <c r="J26" s="3"/>
      <c r="K26" s="3"/>
      <c r="L26" s="3"/>
      <c r="M26" s="3"/>
      <c r="N26" s="3"/>
    </row>
    <row r="27" spans="1:15" ht="51" customHeight="1" x14ac:dyDescent="0.2">
      <c r="A27" s="46" t="s">
        <v>180</v>
      </c>
      <c r="B27" s="68" t="s">
        <v>31</v>
      </c>
      <c r="C27" s="149" t="s">
        <v>121</v>
      </c>
      <c r="D27" s="150"/>
      <c r="E27" s="100" t="s">
        <v>118</v>
      </c>
      <c r="F27" s="69" t="str">
        <f>IF(AND(Hulpblad!B7=5,Hulpblad!C29&gt;2),"Fasegrens aanvraagbedrag in €/ton CO₂ voor categorie """&amp;B10&amp;"""","Fasegrens aanvraagbedrag in €/kWh voor categorie """&amp;B10&amp;"""")</f>
        <v>Fasegrens aanvraagbedrag in €/kWh voor categorie "Wind op land ≥ 8,0 m/s"</v>
      </c>
      <c r="G27" s="9"/>
      <c r="H27" s="3"/>
      <c r="I27" s="3"/>
      <c r="J27" s="3"/>
      <c r="K27" s="3"/>
      <c r="L27" s="3"/>
      <c r="M27" s="3"/>
      <c r="N27" s="3"/>
    </row>
    <row r="28" spans="1:15" ht="12.75" customHeight="1" x14ac:dyDescent="0.2">
      <c r="A28" s="5"/>
      <c r="B28" s="70">
        <v>1</v>
      </c>
      <c r="C28" s="151" t="s">
        <v>186</v>
      </c>
      <c r="D28" s="152"/>
      <c r="E28" s="99">
        <v>75</v>
      </c>
      <c r="F28" s="62">
        <f>ROUND(VLOOKUP(B10,Hulpblad!A88:P349,7,FALSE),4)</f>
        <v>6.5199999999999994E-2</v>
      </c>
      <c r="G28" s="9"/>
      <c r="H28" s="3"/>
      <c r="I28" s="3"/>
      <c r="J28" s="3"/>
      <c r="K28" s="3"/>
      <c r="L28" s="3"/>
      <c r="M28" s="3"/>
      <c r="N28" s="3"/>
    </row>
    <row r="29" spans="1:15" ht="12.75" customHeight="1" x14ac:dyDescent="0.2">
      <c r="A29" s="5"/>
      <c r="B29" s="70">
        <v>2</v>
      </c>
      <c r="C29" s="151" t="s">
        <v>182</v>
      </c>
      <c r="D29" s="152"/>
      <c r="E29" s="99">
        <v>150</v>
      </c>
      <c r="F29" s="62">
        <f>ROUND(VLOOKUP(B10,Hulpblad!A88:P349,8,FALSE),4)</f>
        <v>6.5199999999999994E-2</v>
      </c>
      <c r="G29" s="9"/>
      <c r="H29" s="3"/>
      <c r="I29" s="3"/>
      <c r="J29" s="3"/>
      <c r="K29" s="3"/>
      <c r="L29" s="3"/>
      <c r="M29" s="3"/>
      <c r="N29" s="3"/>
    </row>
    <row r="30" spans="1:15" ht="12.75" customHeight="1" x14ac:dyDescent="0.2">
      <c r="A30" s="5"/>
      <c r="B30" s="70">
        <v>3</v>
      </c>
      <c r="C30" s="151" t="s">
        <v>184</v>
      </c>
      <c r="D30" s="152"/>
      <c r="E30" s="99">
        <v>225</v>
      </c>
      <c r="F30" s="62">
        <f>ROUND(VLOOKUP(B10,Hulpblad!A88:P349,9,FALSE),4)</f>
        <v>6.5199999999999994E-2</v>
      </c>
      <c r="G30" s="9"/>
      <c r="H30" s="3"/>
      <c r="I30" s="3"/>
      <c r="J30" s="3"/>
      <c r="K30" s="3"/>
      <c r="L30" s="3"/>
      <c r="M30" s="3"/>
      <c r="N30" s="3"/>
    </row>
    <row r="31" spans="1:15" ht="12.75" customHeight="1" x14ac:dyDescent="0.2">
      <c r="A31" s="5"/>
      <c r="B31" s="70">
        <v>4</v>
      </c>
      <c r="C31" s="169" t="s">
        <v>185</v>
      </c>
      <c r="D31" s="152"/>
      <c r="E31" s="99">
        <v>300</v>
      </c>
      <c r="F31" s="62">
        <f>ROUND(VLOOKUP(B10,Hulpblad!A88:P349,10,FALSE),4)</f>
        <v>6.5199999999999994E-2</v>
      </c>
      <c r="G31" s="9"/>
      <c r="H31" s="3"/>
      <c r="I31" s="3"/>
      <c r="J31" s="3"/>
      <c r="K31" s="3"/>
      <c r="L31" s="3"/>
      <c r="M31" s="3"/>
      <c r="N31" s="3"/>
    </row>
    <row r="32" spans="1:15" ht="12.75" customHeight="1" x14ac:dyDescent="0.2">
      <c r="A32" s="5"/>
      <c r="B32" s="82">
        <v>5</v>
      </c>
      <c r="C32" s="151" t="s">
        <v>183</v>
      </c>
      <c r="D32" s="152"/>
      <c r="E32" s="101">
        <f>IF(B12="N.v.t.",300,400)</f>
        <v>300</v>
      </c>
      <c r="F32" s="62">
        <f>ROUND(VLOOKUP(B10,Hulpblad!A88:P349,11,FALSE),4)</f>
        <v>6.5199999999999994E-2</v>
      </c>
      <c r="G32" s="9"/>
      <c r="H32" s="3"/>
      <c r="I32" s="3"/>
      <c r="J32" s="3"/>
      <c r="K32" s="3"/>
      <c r="L32" s="3"/>
      <c r="M32" s="3"/>
      <c r="N32" s="3"/>
    </row>
    <row r="33" spans="1:16" ht="19.5" customHeight="1" x14ac:dyDescent="0.2">
      <c r="A33" s="61" t="s">
        <v>30</v>
      </c>
      <c r="B33" s="11"/>
      <c r="C33" s="11"/>
      <c r="D33" s="10"/>
      <c r="E33" s="10"/>
      <c r="F33" s="16"/>
      <c r="G33" s="13"/>
      <c r="H33" s="6"/>
      <c r="I33" s="6"/>
      <c r="J33" s="6"/>
      <c r="K33" s="6"/>
      <c r="L33" s="6"/>
      <c r="M33" s="6"/>
      <c r="N33" s="6"/>
    </row>
    <row r="34" spans="1:16" ht="12.75" customHeight="1" x14ac:dyDescent="0.2">
      <c r="A34" s="147" t="s">
        <v>181</v>
      </c>
      <c r="B34" s="148"/>
      <c r="C34" s="148"/>
      <c r="D34" s="148"/>
      <c r="E34" s="148"/>
      <c r="F34" s="148"/>
      <c r="G34" s="9"/>
      <c r="H34" s="3"/>
      <c r="I34" s="3"/>
      <c r="J34" s="3"/>
      <c r="K34" s="3"/>
      <c r="L34" s="3"/>
      <c r="M34" s="3"/>
      <c r="N34" s="3"/>
    </row>
    <row r="35" spans="1:16" ht="25.5" customHeight="1" x14ac:dyDescent="0.2">
      <c r="A35" s="143"/>
      <c r="B35" s="144"/>
      <c r="C35" s="144"/>
      <c r="D35" s="144"/>
      <c r="E35" s="144"/>
      <c r="F35" s="144"/>
      <c r="G35" s="9"/>
      <c r="H35" s="3"/>
      <c r="I35" s="3"/>
      <c r="J35" s="3"/>
      <c r="K35" s="3"/>
      <c r="L35" s="3"/>
      <c r="M35" s="3"/>
      <c r="N35" s="3"/>
    </row>
    <row r="36" spans="1:16" ht="12.75" hidden="1" customHeight="1" x14ac:dyDescent="0.2">
      <c r="A36" s="5"/>
      <c r="B36" s="11"/>
      <c r="C36" s="11"/>
      <c r="D36" s="10"/>
      <c r="E36" s="10"/>
      <c r="F36" s="8"/>
      <c r="G36" s="9"/>
      <c r="H36" s="3"/>
      <c r="I36" s="3"/>
      <c r="J36" s="3"/>
      <c r="K36" s="3"/>
      <c r="L36" s="3"/>
      <c r="M36" s="3"/>
      <c r="N36" s="3"/>
    </row>
    <row r="37" spans="1:16" ht="12.75" hidden="1" customHeight="1" x14ac:dyDescent="0.2">
      <c r="A37" s="10"/>
      <c r="B37" s="11"/>
      <c r="C37" s="11"/>
      <c r="D37" s="10"/>
      <c r="E37" s="10"/>
      <c r="F37" s="40"/>
      <c r="G37" s="9"/>
      <c r="H37" s="3"/>
      <c r="I37" s="3"/>
      <c r="J37" s="3"/>
      <c r="K37" s="3"/>
      <c r="L37" s="3"/>
      <c r="M37" s="3"/>
      <c r="N37" s="3"/>
    </row>
    <row r="38" spans="1:16" ht="12.75" hidden="1" customHeight="1" x14ac:dyDescent="0.2">
      <c r="A38" s="5"/>
      <c r="B38" s="11"/>
      <c r="C38" s="11"/>
      <c r="D38" s="10"/>
      <c r="E38" s="10"/>
      <c r="F38" s="17"/>
      <c r="G38" s="9"/>
      <c r="H38" s="3"/>
      <c r="I38" s="3"/>
      <c r="J38" s="3"/>
      <c r="K38" s="3"/>
      <c r="L38" s="3"/>
      <c r="M38" s="3"/>
      <c r="N38" s="3"/>
    </row>
    <row r="39" spans="1:16" ht="12.75" hidden="1" customHeight="1" x14ac:dyDescent="0.2">
      <c r="A39" s="5"/>
      <c r="B39" s="11"/>
      <c r="C39" s="11"/>
      <c r="D39" s="10"/>
      <c r="E39" s="10"/>
      <c r="F39" s="16"/>
      <c r="G39" s="9"/>
      <c r="H39" s="3"/>
      <c r="I39" s="3"/>
      <c r="J39" s="3"/>
      <c r="K39" s="3"/>
      <c r="L39" s="3"/>
      <c r="M39" s="3"/>
      <c r="N39" s="3"/>
    </row>
    <row r="40" spans="1:16" ht="12.75" hidden="1" customHeight="1" x14ac:dyDescent="0.2">
      <c r="A40" s="11"/>
      <c r="B40" s="11"/>
      <c r="C40" s="11"/>
      <c r="D40" s="10"/>
      <c r="E40" s="10"/>
      <c r="F40" s="16"/>
      <c r="G40" s="17"/>
      <c r="H40" s="7"/>
      <c r="I40" s="7"/>
      <c r="J40" s="7"/>
      <c r="K40" s="7"/>
      <c r="L40" s="7"/>
      <c r="M40" s="7"/>
      <c r="N40" s="7"/>
    </row>
    <row r="41" spans="1:16" ht="12.75" hidden="1" customHeight="1" x14ac:dyDescent="0.2">
      <c r="A41" s="11"/>
      <c r="B41" s="11"/>
      <c r="C41" s="11"/>
      <c r="D41" s="10"/>
      <c r="E41" s="10"/>
      <c r="F41" s="16"/>
      <c r="G41" s="13"/>
      <c r="H41" s="13"/>
      <c r="I41" s="13"/>
      <c r="J41" s="13"/>
      <c r="K41" s="13"/>
      <c r="L41" s="13"/>
      <c r="M41" s="13"/>
      <c r="N41" s="13"/>
      <c r="O41" s="10"/>
      <c r="P41" s="10"/>
    </row>
    <row r="42" spans="1:16" ht="12.75" hidden="1" customHeight="1" x14ac:dyDescent="0.2">
      <c r="A42" s="65"/>
      <c r="B42" s="11"/>
      <c r="C42" s="11"/>
      <c r="D42" s="10"/>
      <c r="E42" s="10"/>
      <c r="F42" s="16"/>
      <c r="G42" s="13"/>
      <c r="H42" s="10"/>
      <c r="I42" s="13"/>
      <c r="J42" s="13"/>
      <c r="K42" s="13"/>
      <c r="L42" s="13"/>
      <c r="M42" s="13"/>
      <c r="N42" s="13"/>
      <c r="O42" s="10"/>
      <c r="P42" s="10"/>
    </row>
    <row r="43" spans="1:16" hidden="1" x14ac:dyDescent="0.2">
      <c r="A43" s="10"/>
      <c r="B43" s="19"/>
      <c r="C43" s="11"/>
      <c r="D43" s="10"/>
      <c r="E43" s="10"/>
      <c r="F43" s="10"/>
      <c r="G43" s="9"/>
      <c r="H43" s="9"/>
      <c r="I43" s="9"/>
      <c r="J43" s="9"/>
      <c r="K43" s="9"/>
      <c r="L43" s="9"/>
      <c r="M43" s="9"/>
      <c r="N43" s="9"/>
      <c r="O43" s="10"/>
      <c r="P43" s="10"/>
    </row>
    <row r="44" spans="1:16" hidden="1" x14ac:dyDescent="0.2">
      <c r="A44" s="10"/>
      <c r="B44" s="59"/>
      <c r="C44" s="19"/>
      <c r="D44" s="19"/>
      <c r="E44" s="19"/>
      <c r="F44" s="19"/>
      <c r="G44" s="8"/>
      <c r="H44" s="8"/>
      <c r="I44" s="8"/>
      <c r="J44" s="8"/>
      <c r="K44" s="8"/>
      <c r="L44" s="8"/>
      <c r="M44" s="8"/>
      <c r="N44" s="8"/>
      <c r="O44" s="10"/>
      <c r="P44" s="10"/>
    </row>
    <row r="45" spans="1:16" hidden="1" x14ac:dyDescent="0.2">
      <c r="A45" s="11"/>
      <c r="B45" s="11"/>
      <c r="C45" s="59"/>
      <c r="D45" s="59"/>
      <c r="E45" s="59"/>
      <c r="F45" s="59"/>
      <c r="G45" s="8"/>
      <c r="H45" s="8"/>
      <c r="I45" s="8"/>
      <c r="J45" s="8"/>
      <c r="K45" s="8"/>
      <c r="L45" s="8"/>
      <c r="M45" s="8"/>
      <c r="N45" s="8"/>
      <c r="O45" s="10"/>
      <c r="P45" s="10"/>
    </row>
    <row r="46" spans="1:16" hidden="1" x14ac:dyDescent="0.2">
      <c r="A46" s="10"/>
      <c r="B46" s="11"/>
      <c r="C46" s="11"/>
      <c r="D46" s="10"/>
      <c r="E46" s="10"/>
      <c r="F46" s="10"/>
      <c r="G46" s="13"/>
      <c r="H46" s="13"/>
      <c r="I46" s="13"/>
      <c r="J46" s="13"/>
      <c r="K46" s="13"/>
      <c r="L46" s="13"/>
      <c r="M46" s="13"/>
      <c r="N46" s="13"/>
      <c r="O46" s="10"/>
      <c r="P46" s="10"/>
    </row>
    <row r="47" spans="1:16" hidden="1" x14ac:dyDescent="0.2">
      <c r="A47" s="15"/>
      <c r="B47" s="11"/>
      <c r="C47" s="11"/>
      <c r="D47" s="10"/>
      <c r="E47" s="10"/>
      <c r="F47" s="10"/>
      <c r="G47" s="8"/>
      <c r="H47" s="8"/>
      <c r="I47" s="8"/>
      <c r="J47" s="8"/>
      <c r="K47" s="8"/>
      <c r="L47" s="8"/>
      <c r="M47" s="8"/>
      <c r="N47" s="8"/>
      <c r="O47" s="10"/>
      <c r="P47" s="10"/>
    </row>
    <row r="48" spans="1:16" s="1" customFormat="1" hidden="1" x14ac:dyDescent="0.2">
      <c r="A48" s="10"/>
      <c r="B48" s="11"/>
      <c r="C48" s="11"/>
      <c r="D48" s="11"/>
      <c r="E48" s="11"/>
      <c r="F48" s="11"/>
      <c r="G48" s="13"/>
      <c r="H48" s="13"/>
      <c r="I48" s="13"/>
      <c r="J48" s="13"/>
      <c r="K48" s="13"/>
      <c r="L48" s="13"/>
      <c r="M48" s="13"/>
      <c r="N48" s="13"/>
      <c r="O48" s="11"/>
      <c r="P48" s="11"/>
    </row>
    <row r="49" spans="1:16" ht="18" hidden="1" x14ac:dyDescent="0.25">
      <c r="A49" s="12"/>
      <c r="B49" s="11"/>
      <c r="C49" s="11"/>
      <c r="D49" s="10"/>
      <c r="E49" s="10"/>
      <c r="F49" s="10"/>
      <c r="G49" s="8"/>
      <c r="H49" s="8"/>
      <c r="I49" s="8"/>
      <c r="J49" s="8"/>
      <c r="K49" s="8"/>
      <c r="L49" s="8"/>
      <c r="M49" s="8"/>
      <c r="N49" s="8"/>
      <c r="O49" s="10"/>
      <c r="P49" s="10"/>
    </row>
    <row r="50" spans="1:16" hidden="1" x14ac:dyDescent="0.2">
      <c r="A50" s="59"/>
      <c r="B50" s="11"/>
      <c r="C50" s="11"/>
      <c r="D50" s="10"/>
      <c r="E50" s="10"/>
      <c r="F50" s="10"/>
      <c r="G50" s="9"/>
      <c r="H50" s="9"/>
      <c r="I50" s="9"/>
      <c r="J50" s="9"/>
      <c r="K50" s="9"/>
      <c r="L50" s="9"/>
      <c r="M50" s="9"/>
      <c r="N50" s="9"/>
      <c r="O50" s="10"/>
      <c r="P50" s="10"/>
    </row>
    <row r="51" spans="1:16" hidden="1" x14ac:dyDescent="0.2">
      <c r="A51" s="10"/>
      <c r="B51" s="19"/>
      <c r="C51" s="11"/>
      <c r="D51" s="10"/>
      <c r="E51" s="10"/>
      <c r="F51" s="10"/>
      <c r="G51" s="9"/>
      <c r="H51" s="9"/>
      <c r="I51" s="9"/>
      <c r="J51" s="9"/>
      <c r="K51" s="9"/>
      <c r="L51" s="9"/>
      <c r="M51" s="9"/>
      <c r="N51" s="13"/>
      <c r="O51" s="10"/>
      <c r="P51" s="10"/>
    </row>
    <row r="52" spans="1:16" hidden="1" x14ac:dyDescent="0.2">
      <c r="A52" s="10"/>
      <c r="B52" s="9"/>
      <c r="C52" s="19"/>
      <c r="D52" s="19"/>
      <c r="E52" s="19"/>
      <c r="F52" s="19"/>
      <c r="G52" s="8"/>
      <c r="H52" s="8"/>
      <c r="I52" s="8"/>
      <c r="J52" s="8"/>
      <c r="K52" s="8"/>
      <c r="L52" s="8"/>
      <c r="M52" s="8"/>
      <c r="N52" s="8"/>
      <c r="O52" s="10"/>
      <c r="P52" s="10"/>
    </row>
    <row r="53" spans="1:16" hidden="1" x14ac:dyDescent="0.2">
      <c r="A53" s="10"/>
      <c r="B53" s="9"/>
      <c r="C53" s="9"/>
      <c r="D53" s="9"/>
      <c r="E53" s="9"/>
      <c r="F53" s="9"/>
      <c r="G53" s="8"/>
      <c r="H53" s="8"/>
      <c r="I53" s="8"/>
      <c r="J53" s="8"/>
      <c r="K53" s="8"/>
      <c r="L53" s="8"/>
      <c r="M53" s="8"/>
      <c r="N53" s="8"/>
      <c r="O53" s="10"/>
      <c r="P53" s="10"/>
    </row>
    <row r="54" spans="1:16" hidden="1" x14ac:dyDescent="0.2">
      <c r="A54" s="10"/>
      <c r="B54" s="9"/>
      <c r="C54" s="9"/>
      <c r="D54" s="9"/>
      <c r="E54" s="9"/>
      <c r="F54" s="9"/>
      <c r="G54" s="8"/>
      <c r="H54" s="8"/>
      <c r="I54" s="8"/>
      <c r="J54" s="8"/>
      <c r="K54" s="8"/>
      <c r="L54" s="8"/>
      <c r="M54" s="8"/>
      <c r="N54" s="8"/>
      <c r="O54" s="10"/>
      <c r="P54" s="10"/>
    </row>
    <row r="55" spans="1:16" hidden="1" x14ac:dyDescent="0.2">
      <c r="A55" s="10"/>
      <c r="B55" s="19"/>
      <c r="C55" s="9"/>
      <c r="D55" s="9"/>
      <c r="E55" s="9"/>
      <c r="F55" s="9"/>
      <c r="G55" s="8"/>
      <c r="H55" s="8"/>
      <c r="I55" s="8"/>
      <c r="J55" s="8"/>
      <c r="K55" s="8"/>
      <c r="L55" s="8"/>
      <c r="M55" s="8"/>
      <c r="N55" s="8"/>
      <c r="O55" s="10"/>
      <c r="P55" s="10"/>
    </row>
    <row r="56" spans="1:16" hidden="1" x14ac:dyDescent="0.2">
      <c r="A56" s="10"/>
      <c r="B56" s="9"/>
      <c r="C56" s="19"/>
      <c r="D56" s="19"/>
      <c r="E56" s="19"/>
      <c r="F56" s="19"/>
      <c r="G56" s="8"/>
      <c r="H56" s="8"/>
      <c r="I56" s="8"/>
      <c r="J56" s="8"/>
      <c r="K56" s="8"/>
      <c r="L56" s="8"/>
      <c r="M56" s="8"/>
      <c r="N56" s="8"/>
      <c r="O56" s="10"/>
      <c r="P56" s="10"/>
    </row>
    <row r="57" spans="1:16" hidden="1" x14ac:dyDescent="0.2">
      <c r="A57" s="10"/>
      <c r="B57" s="9"/>
      <c r="C57" s="9"/>
      <c r="D57" s="9"/>
      <c r="E57" s="9"/>
      <c r="F57" s="9"/>
      <c r="G57" s="8"/>
      <c r="H57" s="8"/>
      <c r="I57" s="8"/>
      <c r="J57" s="8"/>
      <c r="K57" s="8"/>
      <c r="L57" s="8"/>
      <c r="M57" s="8"/>
      <c r="N57" s="8"/>
      <c r="O57" s="10"/>
      <c r="P57" s="10"/>
    </row>
    <row r="58" spans="1:16" hidden="1" x14ac:dyDescent="0.2">
      <c r="A58" s="10"/>
      <c r="B58" s="9"/>
      <c r="C58" s="9"/>
      <c r="D58" s="9"/>
      <c r="E58" s="9"/>
      <c r="F58" s="9"/>
      <c r="G58" s="8"/>
      <c r="H58" s="8"/>
      <c r="I58" s="8"/>
      <c r="J58" s="8"/>
      <c r="K58" s="8"/>
      <c r="L58" s="8"/>
      <c r="M58" s="8"/>
      <c r="N58" s="8"/>
      <c r="O58" s="10"/>
      <c r="P58" s="10"/>
    </row>
    <row r="59" spans="1:16" hidden="1" x14ac:dyDescent="0.2">
      <c r="A59" s="10"/>
      <c r="B59" s="9"/>
      <c r="C59" s="9"/>
      <c r="D59" s="9"/>
      <c r="E59" s="9"/>
      <c r="F59" s="9"/>
      <c r="G59" s="8"/>
      <c r="H59" s="8"/>
      <c r="I59" s="8"/>
      <c r="J59" s="8"/>
      <c r="K59" s="8"/>
      <c r="L59" s="8"/>
      <c r="M59" s="8"/>
      <c r="N59" s="8"/>
      <c r="O59" s="10"/>
      <c r="P59" s="10"/>
    </row>
    <row r="60" spans="1:16" hidden="1" x14ac:dyDescent="0.2">
      <c r="A60" s="10"/>
      <c r="B60" s="19"/>
      <c r="C60" s="9"/>
      <c r="D60" s="9"/>
      <c r="E60" s="9"/>
      <c r="F60" s="9"/>
      <c r="G60" s="8"/>
      <c r="H60" s="8"/>
      <c r="I60" s="8"/>
      <c r="J60" s="8"/>
      <c r="K60" s="8"/>
      <c r="L60" s="8"/>
      <c r="M60" s="8"/>
      <c r="N60" s="8"/>
      <c r="O60" s="10"/>
      <c r="P60" s="10"/>
    </row>
    <row r="61" spans="1:16" hidden="1" x14ac:dyDescent="0.2">
      <c r="A61" s="10"/>
      <c r="B61" s="9"/>
      <c r="C61" s="19"/>
      <c r="D61" s="19"/>
      <c r="E61" s="19"/>
      <c r="F61" s="19"/>
      <c r="G61" s="8"/>
      <c r="H61" s="8"/>
      <c r="I61" s="8"/>
      <c r="J61" s="8"/>
      <c r="K61" s="8"/>
      <c r="L61" s="8"/>
      <c r="M61" s="8"/>
      <c r="N61" s="8"/>
      <c r="O61" s="10"/>
      <c r="P61" s="10"/>
    </row>
    <row r="62" spans="1:16" hidden="1" x14ac:dyDescent="0.2">
      <c r="A62" s="10"/>
      <c r="B62" s="9"/>
      <c r="C62" s="9"/>
      <c r="D62" s="9"/>
      <c r="E62" s="9"/>
      <c r="F62" s="9"/>
      <c r="G62" s="8"/>
      <c r="H62" s="8"/>
      <c r="I62" s="8"/>
      <c r="J62" s="8"/>
      <c r="K62" s="8"/>
      <c r="L62" s="8"/>
      <c r="M62" s="8"/>
      <c r="N62" s="8"/>
      <c r="O62" s="10"/>
      <c r="P62" s="10"/>
    </row>
    <row r="63" spans="1:16" hidden="1" x14ac:dyDescent="0.2">
      <c r="A63" s="11"/>
      <c r="B63" s="14"/>
      <c r="C63" s="9"/>
      <c r="D63" s="9"/>
      <c r="E63" s="9"/>
      <c r="F63" s="9"/>
      <c r="G63" s="20"/>
      <c r="H63" s="20"/>
      <c r="I63" s="20"/>
      <c r="J63" s="20"/>
      <c r="K63" s="20"/>
      <c r="L63" s="20"/>
      <c r="M63" s="20"/>
      <c r="N63" s="20"/>
      <c r="O63" s="10"/>
      <c r="P63" s="10"/>
    </row>
    <row r="64" spans="1:16" s="1" customFormat="1" hidden="1" x14ac:dyDescent="0.2">
      <c r="A64" s="11"/>
      <c r="B64" s="14"/>
      <c r="C64" s="14"/>
      <c r="D64" s="14"/>
      <c r="E64" s="14"/>
      <c r="F64" s="14"/>
      <c r="G64" s="13"/>
      <c r="H64" s="13"/>
      <c r="I64" s="13"/>
      <c r="J64" s="13"/>
      <c r="K64" s="13"/>
      <c r="L64" s="13"/>
      <c r="M64" s="13"/>
      <c r="N64" s="13"/>
      <c r="O64" s="11"/>
      <c r="P64" s="11"/>
    </row>
    <row r="65" spans="1:16" s="1" customFormat="1" hidden="1" x14ac:dyDescent="0.2">
      <c r="A65" s="11"/>
      <c r="B65" s="14"/>
      <c r="C65" s="14"/>
      <c r="D65" s="14"/>
      <c r="E65" s="14"/>
      <c r="F65" s="14"/>
      <c r="G65" s="13"/>
      <c r="H65" s="13"/>
      <c r="I65" s="13"/>
      <c r="J65" s="13"/>
      <c r="K65" s="13"/>
      <c r="L65" s="13"/>
      <c r="M65" s="13"/>
      <c r="N65" s="13"/>
      <c r="O65" s="11"/>
      <c r="P65" s="11"/>
    </row>
    <row r="66" spans="1:16" s="1" customFormat="1" hidden="1" x14ac:dyDescent="0.2">
      <c r="A66" s="59"/>
      <c r="B66" s="19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1"/>
      <c r="P66" s="11"/>
    </row>
    <row r="67" spans="1:16" s="1" customFormat="1" hidden="1" x14ac:dyDescent="0.2">
      <c r="A67" s="11"/>
      <c r="B67" s="38"/>
      <c r="C67" s="14"/>
      <c r="D67" s="59"/>
      <c r="E67" s="59"/>
      <c r="F67" s="59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 s="1" customFormat="1" hidden="1" x14ac:dyDescent="0.2">
      <c r="A68" s="11"/>
      <c r="B68" s="38"/>
      <c r="C68" s="38"/>
      <c r="D68" s="20"/>
      <c r="E68" s="20"/>
      <c r="F68" s="41"/>
      <c r="G68" s="20"/>
      <c r="H68" s="20"/>
      <c r="I68" s="20"/>
      <c r="J68" s="20"/>
      <c r="K68" s="20"/>
      <c r="L68" s="20"/>
      <c r="M68" s="20"/>
      <c r="N68" s="20"/>
      <c r="O68" s="11"/>
      <c r="P68" s="11"/>
    </row>
    <row r="69" spans="1:16" s="1" customFormat="1" hidden="1" x14ac:dyDescent="0.2">
      <c r="A69" s="11"/>
      <c r="B69" s="38"/>
      <c r="C69" s="38"/>
      <c r="D69" s="20"/>
      <c r="E69" s="20"/>
      <c r="F69" s="41"/>
      <c r="G69" s="8"/>
      <c r="H69" s="20"/>
      <c r="I69" s="20"/>
      <c r="J69" s="20"/>
      <c r="K69" s="20"/>
      <c r="L69" s="20"/>
      <c r="M69" s="20"/>
      <c r="N69" s="20"/>
      <c r="O69" s="11"/>
      <c r="P69" s="11"/>
    </row>
    <row r="70" spans="1:16" s="1" customFormat="1" hidden="1" x14ac:dyDescent="0.2">
      <c r="A70" s="11"/>
      <c r="B70" s="38"/>
      <c r="C70" s="38"/>
      <c r="D70" s="20"/>
      <c r="E70" s="20"/>
      <c r="F70" s="41"/>
      <c r="G70" s="8"/>
      <c r="H70" s="20"/>
      <c r="I70" s="20"/>
      <c r="J70" s="20"/>
      <c r="K70" s="20"/>
      <c r="L70" s="20"/>
      <c r="M70" s="20"/>
      <c r="N70" s="20"/>
      <c r="O70" s="11"/>
      <c r="P70" s="11"/>
    </row>
    <row r="71" spans="1:16" s="1" customFormat="1" hidden="1" x14ac:dyDescent="0.2">
      <c r="A71" s="11"/>
      <c r="B71" s="38"/>
      <c r="C71" s="38"/>
      <c r="D71" s="20"/>
      <c r="E71" s="20"/>
      <c r="F71" s="41"/>
      <c r="G71" s="8"/>
      <c r="H71" s="20"/>
      <c r="I71" s="20"/>
      <c r="J71" s="20"/>
      <c r="K71" s="20"/>
      <c r="L71" s="20"/>
      <c r="M71" s="20"/>
      <c r="N71" s="20"/>
      <c r="O71" s="11"/>
      <c r="P71" s="11"/>
    </row>
    <row r="72" spans="1:16" s="1" customFormat="1" hidden="1" x14ac:dyDescent="0.2">
      <c r="A72" s="11"/>
      <c r="B72" s="38"/>
      <c r="C72" s="38"/>
      <c r="D72" s="20"/>
      <c r="E72" s="20"/>
      <c r="F72" s="41"/>
      <c r="G72" s="8"/>
      <c r="H72" s="20"/>
      <c r="I72" s="20"/>
      <c r="J72" s="20"/>
      <c r="K72" s="20"/>
      <c r="L72" s="20"/>
      <c r="M72" s="20"/>
      <c r="N72" s="20"/>
      <c r="O72" s="11"/>
      <c r="P72" s="11"/>
    </row>
    <row r="73" spans="1:16" s="1" customFormat="1" hidden="1" x14ac:dyDescent="0.2">
      <c r="A73" s="11"/>
      <c r="B73" s="38"/>
      <c r="C73" s="38"/>
      <c r="D73" s="20"/>
      <c r="E73" s="20"/>
      <c r="F73" s="41"/>
      <c r="G73" s="8"/>
      <c r="H73" s="20"/>
      <c r="I73" s="20"/>
      <c r="J73" s="20"/>
      <c r="K73" s="20"/>
      <c r="L73" s="20"/>
      <c r="M73" s="20"/>
      <c r="N73" s="20"/>
      <c r="O73" s="11"/>
      <c r="P73" s="11"/>
    </row>
    <row r="74" spans="1:16" s="1" customFormat="1" hidden="1" x14ac:dyDescent="0.2">
      <c r="A74" s="11"/>
      <c r="B74" s="38"/>
      <c r="C74" s="38"/>
      <c r="D74" s="20"/>
      <c r="E74" s="20"/>
      <c r="F74" s="41"/>
      <c r="G74" s="8"/>
      <c r="H74" s="20"/>
      <c r="I74" s="20"/>
      <c r="J74" s="20"/>
      <c r="K74" s="20"/>
      <c r="L74" s="20"/>
      <c r="M74" s="20"/>
      <c r="N74" s="20"/>
      <c r="O74" s="11"/>
      <c r="P74" s="11"/>
    </row>
    <row r="75" spans="1:16" s="1" customFormat="1" hidden="1" x14ac:dyDescent="0.2">
      <c r="A75" s="11"/>
      <c r="B75" s="14"/>
      <c r="C75" s="38"/>
      <c r="D75" s="20"/>
      <c r="E75" s="20"/>
      <c r="F75" s="41"/>
      <c r="G75" s="8"/>
      <c r="H75" s="20"/>
      <c r="I75" s="20"/>
      <c r="J75" s="20"/>
      <c r="K75" s="20"/>
      <c r="L75" s="20"/>
      <c r="M75" s="20"/>
      <c r="N75" s="20"/>
      <c r="O75" s="11"/>
      <c r="P75" s="11"/>
    </row>
    <row r="76" spans="1:16" s="1" customFormat="1" hidden="1" x14ac:dyDescent="0.2">
      <c r="A76" s="59"/>
      <c r="B76" s="14"/>
      <c r="C76" s="14"/>
      <c r="D76" s="11"/>
      <c r="E76" s="11"/>
      <c r="F76" s="14"/>
      <c r="G76" s="21"/>
      <c r="H76" s="13"/>
      <c r="I76" s="13"/>
      <c r="J76" s="13"/>
      <c r="K76" s="13"/>
      <c r="L76" s="13"/>
      <c r="M76" s="13"/>
      <c r="N76" s="13"/>
      <c r="O76" s="11"/>
      <c r="P76" s="11"/>
    </row>
    <row r="77" spans="1:16" s="1" customFormat="1" hidden="1" x14ac:dyDescent="0.2">
      <c r="A77" s="11"/>
      <c r="B77" s="14"/>
      <c r="C77" s="14"/>
      <c r="D77" s="14"/>
      <c r="E77" s="14"/>
      <c r="F77" s="14"/>
      <c r="G77" s="13"/>
      <c r="H77" s="13"/>
      <c r="I77" s="13"/>
      <c r="J77" s="13"/>
      <c r="K77" s="13"/>
      <c r="L77" s="13"/>
      <c r="M77" s="13"/>
      <c r="N77" s="13"/>
      <c r="O77" s="11"/>
      <c r="P77" s="11"/>
    </row>
    <row r="78" spans="1:16" s="1" customFormat="1" hidden="1" x14ac:dyDescent="0.2">
      <c r="A78" s="11"/>
      <c r="B78" s="14"/>
      <c r="C78" s="14"/>
      <c r="D78" s="14"/>
      <c r="E78" s="14"/>
      <c r="F78" s="14"/>
      <c r="G78" s="13"/>
      <c r="H78" s="13"/>
      <c r="I78" s="13"/>
      <c r="J78" s="13"/>
      <c r="K78" s="13"/>
      <c r="L78" s="13"/>
      <c r="M78" s="13"/>
      <c r="N78" s="13"/>
      <c r="O78" s="11"/>
      <c r="P78" s="11"/>
    </row>
    <row r="79" spans="1:16" s="1" customFormat="1" hidden="1" x14ac:dyDescent="0.2">
      <c r="A79" s="59"/>
      <c r="B79" s="11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1"/>
      <c r="P79" s="11"/>
    </row>
    <row r="80" spans="1:16" hidden="1" x14ac:dyDescent="0.2">
      <c r="A80" s="59"/>
      <c r="B80" s="11"/>
      <c r="C80" s="11"/>
      <c r="D80" s="10"/>
      <c r="E80" s="10"/>
      <c r="F80" s="10"/>
      <c r="G80" s="8"/>
      <c r="H80" s="8"/>
      <c r="I80" s="8"/>
      <c r="J80" s="8"/>
      <c r="K80" s="8"/>
      <c r="L80" s="8"/>
      <c r="M80" s="8"/>
      <c r="N80" s="8"/>
      <c r="O80" s="9"/>
      <c r="P80" s="10"/>
    </row>
    <row r="81" spans="1:16" hidden="1" x14ac:dyDescent="0.2">
      <c r="A81" s="59"/>
      <c r="B81" s="11"/>
      <c r="C81" s="11"/>
      <c r="D81" s="10"/>
      <c r="E81" s="10"/>
      <c r="F81" s="59"/>
      <c r="G81" s="8"/>
      <c r="H81" s="8"/>
      <c r="I81" s="8"/>
      <c r="J81" s="8"/>
      <c r="K81" s="8"/>
      <c r="L81" s="8"/>
      <c r="M81" s="8"/>
      <c r="N81" s="8"/>
      <c r="O81" s="10"/>
      <c r="P81" s="10"/>
    </row>
    <row r="82" spans="1:16" hidden="1" x14ac:dyDescent="0.2">
      <c r="A82" s="59"/>
      <c r="B82" s="11"/>
      <c r="C82" s="11"/>
      <c r="D82" s="10"/>
      <c r="E82" s="10"/>
      <c r="F82" s="10"/>
      <c r="G82" s="8"/>
      <c r="H82" s="8"/>
      <c r="I82" s="8"/>
      <c r="J82" s="8"/>
      <c r="K82" s="8"/>
      <c r="L82" s="8"/>
      <c r="M82" s="8"/>
      <c r="N82" s="8"/>
      <c r="O82" s="8"/>
      <c r="P82" s="10"/>
    </row>
    <row r="83" spans="1:16" hidden="1" x14ac:dyDescent="0.2">
      <c r="A83" s="59"/>
      <c r="B83" s="11"/>
      <c r="C83" s="11"/>
      <c r="D83" s="10"/>
      <c r="E83" s="10"/>
      <c r="F83" s="10"/>
      <c r="G83" s="8"/>
      <c r="H83" s="8"/>
      <c r="I83" s="8"/>
      <c r="J83" s="8"/>
      <c r="K83" s="8"/>
      <c r="L83" s="8"/>
      <c r="M83" s="8"/>
      <c r="N83" s="8"/>
      <c r="O83" s="8"/>
      <c r="P83" s="10"/>
    </row>
    <row r="84" spans="1:16" hidden="1" x14ac:dyDescent="0.2">
      <c r="A84" s="59"/>
      <c r="B84" s="11"/>
      <c r="C84" s="11"/>
      <c r="D84" s="10"/>
      <c r="E84" s="10"/>
      <c r="F84" s="10"/>
      <c r="G84" s="8"/>
      <c r="H84" s="8"/>
      <c r="I84" s="8"/>
      <c r="J84" s="8"/>
      <c r="K84" s="8"/>
      <c r="L84" s="8"/>
      <c r="M84" s="8"/>
      <c r="N84" s="8"/>
      <c r="O84" s="8"/>
      <c r="P84" s="10"/>
    </row>
    <row r="85" spans="1:16" hidden="1" x14ac:dyDescent="0.2">
      <c r="A85" s="59"/>
      <c r="B85" s="22"/>
      <c r="C85" s="11"/>
      <c r="D85" s="10"/>
      <c r="E85" s="10"/>
      <c r="F85" s="10"/>
      <c r="G85" s="8"/>
      <c r="H85" s="8"/>
      <c r="I85" s="8"/>
      <c r="J85" s="8"/>
      <c r="K85" s="8"/>
      <c r="L85" s="8"/>
      <c r="M85" s="8"/>
      <c r="N85" s="8"/>
      <c r="O85" s="8"/>
      <c r="P85" s="10"/>
    </row>
    <row r="86" spans="1:16" hidden="1" x14ac:dyDescent="0.2">
      <c r="A86" s="59"/>
      <c r="B86" s="25"/>
      <c r="C86" s="23"/>
      <c r="D86" s="24"/>
      <c r="E86" s="24"/>
      <c r="F86" s="10"/>
      <c r="G86" s="8"/>
      <c r="H86" s="8"/>
      <c r="I86" s="8"/>
      <c r="J86" s="8"/>
      <c r="K86" s="8"/>
      <c r="L86" s="8"/>
      <c r="M86" s="8"/>
      <c r="N86" s="8"/>
      <c r="O86" s="8"/>
      <c r="P86" s="10"/>
    </row>
    <row r="87" spans="1:16" hidden="1" x14ac:dyDescent="0.2">
      <c r="A87" s="59"/>
      <c r="B87" s="11"/>
      <c r="C87" s="23"/>
      <c r="D87" s="24"/>
      <c r="E87" s="24"/>
      <c r="F87" s="10"/>
      <c r="G87" s="8"/>
      <c r="H87" s="8"/>
      <c r="I87" s="8"/>
      <c r="J87" s="8"/>
      <c r="K87" s="8"/>
      <c r="L87" s="8"/>
      <c r="M87" s="8"/>
      <c r="N87" s="8"/>
      <c r="O87" s="8"/>
      <c r="P87" s="10"/>
    </row>
    <row r="88" spans="1:16" hidden="1" x14ac:dyDescent="0.2">
      <c r="A88" s="15"/>
      <c r="B88" s="11"/>
      <c r="C88" s="11"/>
      <c r="D88" s="10"/>
      <c r="E88" s="10"/>
      <c r="F88" s="10"/>
      <c r="G88" s="8"/>
      <c r="H88" s="8"/>
      <c r="I88" s="8"/>
      <c r="J88" s="8"/>
      <c r="K88" s="8"/>
      <c r="L88" s="8"/>
      <c r="M88" s="8"/>
      <c r="N88" s="8"/>
      <c r="O88" s="8"/>
      <c r="P88" s="10"/>
    </row>
    <row r="89" spans="1:16" s="1" customFormat="1" hidden="1" x14ac:dyDescent="0.2">
      <c r="A89" s="11"/>
      <c r="B89" s="11"/>
      <c r="C89" s="11"/>
      <c r="D89" s="11"/>
      <c r="E89" s="11"/>
      <c r="F89" s="11"/>
      <c r="G89" s="13"/>
      <c r="H89" s="13"/>
      <c r="I89" s="13"/>
      <c r="J89" s="13"/>
      <c r="K89" s="13"/>
      <c r="L89" s="13"/>
      <c r="M89" s="13"/>
      <c r="N89" s="13"/>
      <c r="O89" s="11"/>
      <c r="P89" s="11"/>
    </row>
    <row r="90" spans="1:16" s="1" customFormat="1" hidden="1" x14ac:dyDescent="0.2">
      <c r="A90" s="11"/>
      <c r="B90" s="11"/>
      <c r="C90" s="11"/>
      <c r="D90" s="11"/>
      <c r="E90" s="11"/>
      <c r="F90" s="11"/>
      <c r="G90" s="13"/>
      <c r="H90" s="13"/>
      <c r="I90" s="13"/>
      <c r="J90" s="13"/>
      <c r="K90" s="13"/>
      <c r="L90" s="13"/>
      <c r="M90" s="13"/>
      <c r="N90" s="13"/>
      <c r="O90" s="11"/>
      <c r="P90" s="11"/>
    </row>
    <row r="91" spans="1:16" s="1" customFormat="1" hidden="1" x14ac:dyDescent="0.2">
      <c r="A91" s="11"/>
      <c r="B91" s="11"/>
      <c r="C91" s="11"/>
      <c r="D91" s="11"/>
      <c r="E91" s="11"/>
      <c r="F91" s="11"/>
      <c r="G91" s="13"/>
      <c r="H91" s="13"/>
      <c r="I91" s="13"/>
      <c r="J91" s="13"/>
      <c r="K91" s="13"/>
      <c r="L91" s="13"/>
      <c r="M91" s="13"/>
      <c r="N91" s="13"/>
      <c r="O91" s="11"/>
      <c r="P91" s="11"/>
    </row>
    <row r="92" spans="1:16" s="1" customFormat="1" hidden="1" x14ac:dyDescent="0.2">
      <c r="A92" s="59"/>
      <c r="B92" s="11"/>
      <c r="C92" s="11"/>
      <c r="D92" s="11"/>
      <c r="E92" s="11"/>
      <c r="F92" s="11"/>
      <c r="G92" s="13"/>
      <c r="H92" s="13"/>
      <c r="I92" s="13"/>
      <c r="J92" s="13"/>
      <c r="K92" s="13"/>
      <c r="L92" s="13"/>
      <c r="M92" s="13"/>
      <c r="N92" s="13"/>
      <c r="O92" s="11"/>
      <c r="P92" s="11"/>
    </row>
    <row r="93" spans="1:16" hidden="1" x14ac:dyDescent="0.2">
      <c r="A93" s="59"/>
      <c r="B93" s="11"/>
      <c r="C93" s="11"/>
      <c r="D93" s="10"/>
      <c r="E93" s="10"/>
      <c r="F93" s="8"/>
      <c r="G93" s="8"/>
      <c r="H93" s="8"/>
      <c r="I93" s="8"/>
      <c r="J93" s="8"/>
      <c r="K93" s="8"/>
      <c r="L93" s="8"/>
      <c r="M93" s="8"/>
      <c r="N93" s="8"/>
      <c r="O93" s="10"/>
      <c r="P93" s="10"/>
    </row>
    <row r="94" spans="1:16" hidden="1" x14ac:dyDescent="0.2">
      <c r="A94" s="59"/>
      <c r="B94" s="11"/>
      <c r="C94" s="11"/>
      <c r="D94" s="10"/>
      <c r="E94" s="10"/>
      <c r="F94" s="10"/>
      <c r="G94" s="8"/>
      <c r="H94" s="8"/>
      <c r="I94" s="8"/>
      <c r="J94" s="8"/>
      <c r="K94" s="8"/>
      <c r="L94" s="8"/>
      <c r="M94" s="8"/>
      <c r="N94" s="8"/>
      <c r="O94" s="10"/>
      <c r="P94" s="10"/>
    </row>
    <row r="95" spans="1:16" hidden="1" x14ac:dyDescent="0.2">
      <c r="A95" s="11"/>
      <c r="B95" s="11"/>
      <c r="C95" s="11"/>
      <c r="D95" s="10"/>
      <c r="E95" s="10"/>
      <c r="F95" s="10"/>
      <c r="G95" s="8"/>
      <c r="H95" s="8"/>
      <c r="I95" s="8"/>
      <c r="J95" s="8"/>
      <c r="K95" s="8"/>
      <c r="L95" s="8"/>
      <c r="M95" s="8"/>
      <c r="N95" s="8"/>
      <c r="O95" s="10"/>
      <c r="P95" s="10"/>
    </row>
    <row r="96" spans="1:16" s="1" customFormat="1" hidden="1" x14ac:dyDescent="0.2">
      <c r="A96" s="10"/>
      <c r="B96" s="11"/>
      <c r="C96" s="11"/>
      <c r="D96" s="11"/>
      <c r="E96" s="11"/>
      <c r="F96" s="11"/>
      <c r="G96" s="13"/>
      <c r="H96" s="13"/>
      <c r="I96" s="13"/>
      <c r="J96" s="13"/>
      <c r="K96" s="13"/>
      <c r="L96" s="13"/>
      <c r="M96" s="13"/>
      <c r="N96" s="13"/>
      <c r="O96" s="11"/>
      <c r="P96" s="11"/>
    </row>
    <row r="97" spans="1:18" hidden="1" x14ac:dyDescent="0.2">
      <c r="A97" s="59"/>
      <c r="B97" s="11"/>
      <c r="C97" s="11"/>
      <c r="D97" s="10"/>
      <c r="E97" s="10"/>
      <c r="F97" s="10"/>
      <c r="G97" s="8"/>
      <c r="H97" s="8"/>
      <c r="I97" s="8"/>
      <c r="J97" s="8"/>
      <c r="K97" s="8"/>
      <c r="L97" s="8"/>
      <c r="M97" s="8"/>
      <c r="N97" s="8"/>
      <c r="O97" s="10"/>
      <c r="P97" s="10"/>
    </row>
    <row r="98" spans="1:18" hidden="1" x14ac:dyDescent="0.2">
      <c r="A98" s="10"/>
      <c r="B98" s="11"/>
      <c r="C98" s="11"/>
      <c r="D98" s="10"/>
      <c r="E98" s="10"/>
      <c r="F98" s="10"/>
      <c r="G98" s="8"/>
      <c r="H98" s="8"/>
      <c r="I98" s="8"/>
      <c r="J98" s="8"/>
      <c r="K98" s="8"/>
      <c r="L98" s="8"/>
      <c r="M98" s="8"/>
      <c r="N98" s="8"/>
      <c r="O98" s="10"/>
      <c r="P98" s="10"/>
    </row>
    <row r="99" spans="1:18" hidden="1" x14ac:dyDescent="0.2">
      <c r="A99" s="10"/>
      <c r="B99" s="11"/>
      <c r="C99" s="11"/>
      <c r="D99" s="10"/>
      <c r="E99" s="10"/>
      <c r="F99" s="39"/>
      <c r="G99" s="8"/>
      <c r="H99" s="8"/>
      <c r="I99" s="8"/>
      <c r="J99" s="8"/>
      <c r="K99" s="8"/>
      <c r="L99" s="8"/>
      <c r="M99" s="8"/>
      <c r="N99" s="8"/>
      <c r="O99" s="10"/>
      <c r="P99" s="10"/>
    </row>
    <row r="100" spans="1:18" hidden="1" x14ac:dyDescent="0.2">
      <c r="A100" s="11"/>
      <c r="B100" s="11"/>
      <c r="C100" s="18"/>
      <c r="D100" s="26"/>
      <c r="E100" s="26"/>
      <c r="F100" s="10"/>
      <c r="G100" s="8"/>
      <c r="H100" s="8"/>
      <c r="I100" s="8"/>
      <c r="J100" s="8"/>
      <c r="K100" s="8"/>
      <c r="L100" s="8"/>
      <c r="M100" s="8"/>
      <c r="N100" s="8"/>
      <c r="O100" s="10"/>
      <c r="P100" s="10"/>
    </row>
    <row r="101" spans="1:18" s="1" customFormat="1" hidden="1" x14ac:dyDescent="0.2">
      <c r="A101" s="11"/>
      <c r="B101" s="11"/>
      <c r="C101" s="11"/>
      <c r="D101" s="11"/>
      <c r="E101" s="11"/>
      <c r="F101" s="11"/>
      <c r="G101" s="13"/>
      <c r="H101" s="13"/>
      <c r="I101" s="13"/>
      <c r="J101" s="13"/>
      <c r="K101" s="13"/>
      <c r="L101" s="13"/>
      <c r="M101" s="13"/>
      <c r="N101" s="13"/>
      <c r="O101" s="11"/>
      <c r="P101" s="11"/>
    </row>
    <row r="102" spans="1:18" s="1" customFormat="1" hidden="1" x14ac:dyDescent="0.2">
      <c r="A102" s="11"/>
      <c r="B102" s="11"/>
      <c r="C102" s="11"/>
      <c r="D102" s="11"/>
      <c r="E102" s="11"/>
      <c r="F102" s="11"/>
      <c r="G102" s="13"/>
      <c r="H102" s="13"/>
      <c r="I102" s="13"/>
      <c r="J102" s="13"/>
      <c r="K102" s="13"/>
      <c r="L102" s="13"/>
      <c r="M102" s="13"/>
      <c r="N102" s="13"/>
      <c r="O102" s="11"/>
      <c r="P102" s="11"/>
    </row>
    <row r="103" spans="1:18" s="1" customFormat="1" hidden="1" x14ac:dyDescent="0.2">
      <c r="A103" s="10"/>
      <c r="B103" s="11"/>
      <c r="C103" s="11"/>
      <c r="D103" s="11"/>
      <c r="E103" s="11"/>
      <c r="F103" s="11"/>
      <c r="G103" s="13"/>
      <c r="H103" s="13"/>
      <c r="I103" s="13"/>
      <c r="J103" s="13"/>
      <c r="K103" s="13"/>
      <c r="L103" s="13"/>
      <c r="M103" s="13"/>
      <c r="N103" s="13"/>
      <c r="O103" s="14"/>
      <c r="P103" s="14"/>
      <c r="Q103" s="4"/>
      <c r="R103" s="4"/>
    </row>
    <row r="104" spans="1:18" ht="15.75" hidden="1" x14ac:dyDescent="0.2">
      <c r="A104" s="27"/>
      <c r="B104" s="28"/>
      <c r="C104" s="11"/>
      <c r="D104" s="10"/>
      <c r="E104" s="10"/>
      <c r="F104" s="10"/>
      <c r="G104" s="8"/>
      <c r="H104" s="8"/>
      <c r="I104" s="8"/>
      <c r="J104" s="8"/>
      <c r="K104" s="8"/>
      <c r="L104" s="8"/>
      <c r="M104" s="8"/>
      <c r="N104" s="8"/>
      <c r="O104" s="10"/>
      <c r="P104" s="10"/>
    </row>
    <row r="105" spans="1:18" ht="24.95" hidden="1" customHeight="1" x14ac:dyDescent="0.2">
      <c r="A105" s="10"/>
      <c r="B105" s="11"/>
      <c r="C105" s="28"/>
      <c r="D105" s="29"/>
      <c r="E105" s="29"/>
      <c r="F105" s="30"/>
      <c r="G105" s="31"/>
      <c r="H105" s="31"/>
      <c r="I105" s="31"/>
      <c r="J105" s="31"/>
      <c r="K105" s="31"/>
      <c r="L105" s="31"/>
      <c r="M105" s="31"/>
      <c r="N105" s="31"/>
      <c r="O105" s="10"/>
      <c r="P105" s="10"/>
    </row>
    <row r="106" spans="1:18" hidden="1" x14ac:dyDescent="0.2">
      <c r="A106" s="10"/>
      <c r="B106" s="11"/>
      <c r="C106" s="11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8" hidden="1" x14ac:dyDescent="0.2">
      <c r="A107" s="11"/>
      <c r="B107" s="11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8" hidden="1" x14ac:dyDescent="0.2">
      <c r="A108" s="10"/>
      <c r="B108" s="11"/>
      <c r="C108" s="11"/>
      <c r="D108" s="10"/>
      <c r="E108" s="10"/>
      <c r="F108" s="10"/>
      <c r="G108" s="13"/>
      <c r="H108" s="13"/>
      <c r="I108" s="13"/>
      <c r="J108" s="13"/>
      <c r="K108" s="13"/>
      <c r="L108" s="13"/>
      <c r="M108" s="13"/>
      <c r="N108" s="13"/>
      <c r="O108" s="10"/>
      <c r="P108" s="10"/>
    </row>
    <row r="109" spans="1:18" ht="15.75" hidden="1" x14ac:dyDescent="0.2">
      <c r="A109" s="27"/>
      <c r="B109" s="27"/>
      <c r="C109" s="11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spans="1:18" ht="24.75" hidden="1" customHeight="1" x14ac:dyDescent="0.2">
      <c r="A110" s="10"/>
      <c r="B110" s="11"/>
      <c r="C110" s="27"/>
      <c r="D110" s="27"/>
      <c r="E110" s="27"/>
      <c r="F110" s="32"/>
      <c r="G110" s="33"/>
      <c r="H110" s="10"/>
      <c r="I110" s="10"/>
      <c r="J110" s="10"/>
      <c r="K110" s="10"/>
      <c r="L110" s="10"/>
      <c r="M110" s="10"/>
      <c r="N110" s="10"/>
      <c r="O110" s="10"/>
      <c r="P110" s="10"/>
    </row>
    <row r="111" spans="1:18" hidden="1" x14ac:dyDescent="0.2">
      <c r="A111" s="10"/>
      <c r="B111" s="11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8" hidden="1" x14ac:dyDescent="0.2">
      <c r="A112" s="11"/>
      <c r="B112" s="11"/>
      <c r="C112" s="11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 hidden="1" x14ac:dyDescent="0.2">
      <c r="A113" s="10"/>
      <c r="B113" s="11"/>
      <c r="C113" s="11"/>
      <c r="D113" s="10"/>
      <c r="E113" s="10"/>
      <c r="F113" s="10"/>
      <c r="G113" s="34"/>
      <c r="H113" s="34"/>
      <c r="I113" s="34"/>
      <c r="J113" s="34"/>
      <c r="K113" s="34"/>
      <c r="L113" s="34"/>
      <c r="M113" s="34"/>
      <c r="N113" s="34"/>
      <c r="O113" s="10"/>
      <c r="P113" s="10"/>
    </row>
    <row r="114" spans="1:16" ht="15.75" hidden="1" x14ac:dyDescent="0.2">
      <c r="A114" s="27"/>
      <c r="B114" s="11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1:16" ht="24.75" hidden="1" customHeight="1" x14ac:dyDescent="0.2">
      <c r="A115" s="10"/>
      <c r="B115" s="11"/>
      <c r="C115" s="11"/>
      <c r="D115" s="10"/>
      <c r="E115" s="10"/>
      <c r="F115" s="35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 hidden="1" x14ac:dyDescent="0.2">
      <c r="A116" s="10"/>
      <c r="B116" s="11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 hidden="1" x14ac:dyDescent="0.2">
      <c r="A117" s="11"/>
      <c r="B117" s="11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6" hidden="1" x14ac:dyDescent="0.2">
      <c r="A118" s="59"/>
      <c r="B118" s="59"/>
      <c r="C118" s="11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spans="1:16" hidden="1" x14ac:dyDescent="0.2">
      <c r="A119" s="10"/>
      <c r="B119" s="10"/>
      <c r="C119" s="59"/>
      <c r="D119" s="59"/>
      <c r="E119" s="59"/>
      <c r="F119" s="59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1:16" hidden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1:16" hidden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 hidden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 hidden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6" hidden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 hidden="1" x14ac:dyDescent="0.2">
      <c r="A125" s="1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 hidden="1" x14ac:dyDescent="0.2">
      <c r="A126" s="10"/>
      <c r="B126" s="11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6" hidden="1" x14ac:dyDescent="0.2">
      <c r="A127" s="10"/>
      <c r="B127" s="11"/>
      <c r="C127" s="11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6" hidden="1" x14ac:dyDescent="0.2">
      <c r="A128" s="10"/>
      <c r="B128" s="11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 hidden="1" x14ac:dyDescent="0.2">
      <c r="A129" s="10"/>
      <c r="B129" s="11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 hidden="1" x14ac:dyDescent="0.2">
      <c r="A130" s="10"/>
      <c r="B130" s="11"/>
      <c r="C130" s="11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 hidden="1" x14ac:dyDescent="0.2">
      <c r="A131" s="10"/>
      <c r="B131" s="11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 hidden="1" x14ac:dyDescent="0.2"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</sheetData>
  <sheetProtection algorithmName="SHA-512" hashValue="k+3vViDvdWbOc8VFBNkh33ZFbbhax8jwI+xrcWfl+xh7YZdOR/f/rGijsbJZgSiKu4i12W79O2bz2lCT4YHs6A==" saltValue="eBFlTMe6W53RGl7kFO0+dA==" spinCount="100000" sheet="1" objects="1" scenarios="1"/>
  <mergeCells count="25">
    <mergeCell ref="C16:F16"/>
    <mergeCell ref="C31:D31"/>
    <mergeCell ref="H22:H23"/>
    <mergeCell ref="B9:F9"/>
    <mergeCell ref="B10:F10"/>
    <mergeCell ref="G18:G20"/>
    <mergeCell ref="G23:G25"/>
    <mergeCell ref="D22:F22"/>
    <mergeCell ref="B19:F19"/>
    <mergeCell ref="A35:F35"/>
    <mergeCell ref="A5:F5"/>
    <mergeCell ref="A34:F34"/>
    <mergeCell ref="C27:D27"/>
    <mergeCell ref="C28:D28"/>
    <mergeCell ref="C29:D29"/>
    <mergeCell ref="C30:D30"/>
    <mergeCell ref="B24:F24"/>
    <mergeCell ref="C15:F15"/>
    <mergeCell ref="D12:F12"/>
    <mergeCell ref="C32:D32"/>
    <mergeCell ref="B7:F7"/>
    <mergeCell ref="B8:F8"/>
    <mergeCell ref="D18:F18"/>
    <mergeCell ref="D23:F23"/>
    <mergeCell ref="C17:F17"/>
  </mergeCells>
  <dataValidations disablePrompts="1" count="1">
    <dataValidation type="decimal" allowBlank="1" showInputMessage="1" showErrorMessage="1" error="U kunt maximaal een percentage van 3,0% invullen. Klik op &quot;Annuleren&quot; en vul een ander percentage in. " sqref="F39" xr:uid="{F028DE35-4840-41F6-A93F-BDA5A8CCD124}">
      <formula1>0</formula1>
      <formula2>0.03</formula2>
    </dataValidation>
  </dataValidations>
  <pageMargins left="0.7" right="0.7" top="0.75" bottom="0.75" header="0.3" footer="0.3"/>
  <pageSetup paperSize="9" scale="47" orientation="portrait" r:id="rId1"/>
  <headerFooter>
    <oddFooter>&amp;L_x000D_&amp;1#&amp;"Aptos"&amp;10&amp;K000000 Intern gebruik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7" r:id="rId4" name="List Box 9">
              <controlPr defaultSize="0" autoLine="0" autoPict="0" altText="Hier staan de volgende hoofdthem's van de productie installaties:_x000d__x000a_Hernieuwbare elektriciteit,_x000d__x000a_Hernieuwbare gas, hernieuwbare warmte (en gecombineerde opwekking) co2-arme warmte en co2-arme productie">
                <anchor moveWithCells="1" sizeWithCells="1">
                  <from>
                    <xdr:col>1</xdr:col>
                    <xdr:colOff>0</xdr:colOff>
                    <xdr:row>6</xdr:row>
                    <xdr:rowOff>38100</xdr:rowOff>
                  </from>
                  <to>
                    <xdr:col>6</xdr:col>
                    <xdr:colOff>0</xdr:colOff>
                    <xdr:row>6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5" name="List Box 10">
              <controlPr defaultSize="0" autoLine="0" autoPict="0" altText="Hier staat de indeling subthema's productie installaties: wind en zon-pv">
                <anchor moveWithCells="1" sizeWithCells="1">
                  <from>
                    <xdr:col>1</xdr:col>
                    <xdr:colOff>0</xdr:colOff>
                    <xdr:row>7</xdr:row>
                    <xdr:rowOff>19050</xdr:rowOff>
                  </from>
                  <to>
                    <xdr:col>6</xdr:col>
                    <xdr:colOff>0</xdr:colOff>
                    <xdr:row>7</xdr:row>
                    <xdr:rowOff>1800225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6" name="List Box 11">
              <controlPr defaultSize="0" autoLine="0" autoPict="0">
                <anchor moveWithCells="1" sizeWithCells="1">
                  <from>
                    <xdr:col>0</xdr:col>
                    <xdr:colOff>4219575</xdr:colOff>
                    <xdr:row>8</xdr:row>
                    <xdr:rowOff>28575</xdr:rowOff>
                  </from>
                  <to>
                    <xdr:col>6</xdr:col>
                    <xdr:colOff>0</xdr:colOff>
                    <xdr:row>8</xdr:row>
                    <xdr:rowOff>2771775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AE6D-7F56-41BA-B0E1-566840FBEC92}">
  <dimension ref="A1:B216"/>
  <sheetViews>
    <sheetView workbookViewId="0">
      <selection activeCell="B238" sqref="B238"/>
    </sheetView>
  </sheetViews>
  <sheetFormatPr defaultRowHeight="12.75" x14ac:dyDescent="0.2"/>
  <cols>
    <col min="1" max="1" width="221" style="10" customWidth="1"/>
    <col min="2" max="2" width="40.7109375" style="74" bestFit="1" customWidth="1"/>
    <col min="3" max="18" width="25.7109375" style="10" customWidth="1"/>
    <col min="19" max="16384" width="9.140625" style="10"/>
  </cols>
  <sheetData>
    <row r="1" spans="1:2" ht="54" x14ac:dyDescent="0.2">
      <c r="A1" s="71" t="s">
        <v>1</v>
      </c>
      <c r="B1" s="73" t="s">
        <v>62</v>
      </c>
    </row>
    <row r="2" spans="1:2" ht="30" customHeight="1" x14ac:dyDescent="0.2">
      <c r="A2" s="71" t="s">
        <v>177</v>
      </c>
      <c r="B2" s="73"/>
    </row>
    <row r="3" spans="1:2" x14ac:dyDescent="0.2">
      <c r="A3" s="66" t="s">
        <v>33</v>
      </c>
      <c r="B3" s="72">
        <f>VLOOKUP(A3,Hulpblad!$A$88:$P$349,16,FALSE)</f>
        <v>204.54499999999999</v>
      </c>
    </row>
    <row r="4" spans="1:2" x14ac:dyDescent="0.2">
      <c r="A4" s="10" t="s">
        <v>128</v>
      </c>
      <c r="B4" s="72">
        <f>VLOOKUP(A4,Hulpblad!$A$88:$P$349,16,FALSE)</f>
        <v>110.31</v>
      </c>
    </row>
    <row r="5" spans="1:2" x14ac:dyDescent="0.2">
      <c r="A5" s="10" t="s">
        <v>127</v>
      </c>
      <c r="B5" s="72">
        <f>VLOOKUP(A5,Hulpblad!$A$88:$P$349,16,FALSE)</f>
        <v>300.05799999999999</v>
      </c>
    </row>
    <row r="6" spans="1:2" x14ac:dyDescent="0.2">
      <c r="A6" s="67" t="s">
        <v>203</v>
      </c>
      <c r="B6" s="72">
        <f>VLOOKUP(A6,Hulpblad!$A$88:$P$349,16,FALSE)</f>
        <v>240.19200000000001</v>
      </c>
    </row>
    <row r="7" spans="1:2" x14ac:dyDescent="0.2">
      <c r="A7" s="10" t="s">
        <v>150</v>
      </c>
      <c r="B7" s="72">
        <f>VLOOKUP(A7,Hulpblad!$A$88:$P$349,16,FALSE)</f>
        <v>226.55</v>
      </c>
    </row>
    <row r="8" spans="1:2" x14ac:dyDescent="0.2">
      <c r="A8" s="66" t="s">
        <v>204</v>
      </c>
      <c r="B8" s="72">
        <f>VLOOKUP(A8,Hulpblad!$A$88:$P$349,16,FALSE)</f>
        <v>62.642000000000003</v>
      </c>
    </row>
    <row r="9" spans="1:2" x14ac:dyDescent="0.2">
      <c r="A9" s="10" t="s">
        <v>34</v>
      </c>
      <c r="B9" s="72">
        <f>VLOOKUP(A9,Hulpblad!$A$88:$P$349,16,FALSE)</f>
        <v>300.06599999999997</v>
      </c>
    </row>
    <row r="10" spans="1:2" x14ac:dyDescent="0.2">
      <c r="A10" s="10" t="s">
        <v>32</v>
      </c>
      <c r="B10" s="72">
        <f>VLOOKUP(A10,Hulpblad!$A$88:$P$349,16,FALSE)</f>
        <v>234.29599999999999</v>
      </c>
    </row>
    <row r="11" spans="1:2" x14ac:dyDescent="0.2">
      <c r="A11" s="10" t="s">
        <v>131</v>
      </c>
      <c r="B11" s="72">
        <f>VLOOKUP(A11,Hulpblad!$A$88:$P$349,16,FALSE)</f>
        <v>141.22</v>
      </c>
    </row>
    <row r="12" spans="1:2" x14ac:dyDescent="0.2">
      <c r="A12" s="10" t="s">
        <v>130</v>
      </c>
      <c r="B12" s="72">
        <f>VLOOKUP(A12,Hulpblad!$A$88:$P$349,16,FALSE)</f>
        <v>319.20299999999997</v>
      </c>
    </row>
    <row r="13" spans="1:2" x14ac:dyDescent="0.2">
      <c r="A13" s="10" t="s">
        <v>205</v>
      </c>
      <c r="B13" s="72">
        <f>VLOOKUP(A13,Hulpblad!$A$88:$P$349,16,FALSE)</f>
        <v>228.81700000000001</v>
      </c>
    </row>
    <row r="14" spans="1:2" x14ac:dyDescent="0.2">
      <c r="A14" s="10" t="s">
        <v>151</v>
      </c>
      <c r="B14" s="72">
        <f>VLOOKUP(A14,Hulpblad!$A$88:$P$349,16,FALSE)</f>
        <v>198.78100000000001</v>
      </c>
    </row>
    <row r="15" spans="1:2" x14ac:dyDescent="0.2">
      <c r="A15" s="66" t="s">
        <v>206</v>
      </c>
      <c r="B15" s="72">
        <f>VLOOKUP(A15,Hulpblad!$A$88:$P$349,16,FALSE)</f>
        <v>88.665999999999997</v>
      </c>
    </row>
    <row r="16" spans="1:2" x14ac:dyDescent="0.2">
      <c r="A16" s="10" t="s">
        <v>35</v>
      </c>
      <c r="B16" s="72">
        <f>VLOOKUP(A16,Hulpblad!$A$88:$P$349,16,FALSE)</f>
        <v>399.80799999999999</v>
      </c>
    </row>
    <row r="17" spans="1:2" x14ac:dyDescent="0.2">
      <c r="A17" s="10" t="s">
        <v>45</v>
      </c>
      <c r="B17" s="72">
        <f>VLOOKUP(A17,Hulpblad!$A$88:$P$349,16,FALSE)</f>
        <v>291.39800000000002</v>
      </c>
    </row>
    <row r="18" spans="1:2" x14ac:dyDescent="0.2">
      <c r="A18" s="10" t="s">
        <v>134</v>
      </c>
      <c r="B18" s="72">
        <f>VLOOKUP(A18,Hulpblad!$A$88:$P$349,16,FALSE)</f>
        <v>164.42400000000001</v>
      </c>
    </row>
    <row r="19" spans="1:2" x14ac:dyDescent="0.2">
      <c r="A19" s="10" t="s">
        <v>207</v>
      </c>
      <c r="B19" s="72">
        <f>VLOOKUP(A19,Hulpblad!$A$88:$P$349,16,FALSE)</f>
        <v>202.458</v>
      </c>
    </row>
    <row r="20" spans="1:2" x14ac:dyDescent="0.2">
      <c r="A20" s="66" t="s">
        <v>133</v>
      </c>
      <c r="B20" s="72">
        <f>VLOOKUP(A20,Hulpblad!$A$88:$P$349,16,FALSE)</f>
        <v>390.93799999999999</v>
      </c>
    </row>
    <row r="21" spans="1:2" x14ac:dyDescent="0.2">
      <c r="A21" s="10" t="s">
        <v>208</v>
      </c>
      <c r="B21" s="72">
        <f>VLOOKUP(A21,Hulpblad!$A$88:$P$349,16,FALSE)</f>
        <v>269.88099999999997</v>
      </c>
    </row>
    <row r="22" spans="1:2" x14ac:dyDescent="0.2">
      <c r="A22" s="67" t="s">
        <v>152</v>
      </c>
      <c r="B22" s="72">
        <f>VLOOKUP(A22,Hulpblad!$A$88:$P$349,16,FALSE)</f>
        <v>248.33699999999999</v>
      </c>
    </row>
    <row r="23" spans="1:2" x14ac:dyDescent="0.2">
      <c r="A23" s="10" t="s">
        <v>209</v>
      </c>
      <c r="B23" s="72">
        <f>VLOOKUP(A23,Hulpblad!$A$88:$P$349,16,FALSE)</f>
        <v>97.683000000000007</v>
      </c>
    </row>
    <row r="24" spans="1:2" x14ac:dyDescent="0.2">
      <c r="A24" s="10" t="s">
        <v>210</v>
      </c>
      <c r="B24" s="72">
        <f>VLOOKUP(A24,Hulpblad!$A$88:$P$349,16,FALSE)</f>
        <v>127.74</v>
      </c>
    </row>
    <row r="25" spans="1:2" x14ac:dyDescent="0.2">
      <c r="A25" s="10" t="s">
        <v>36</v>
      </c>
      <c r="B25" s="72">
        <f>VLOOKUP(A25,Hulpblad!$A$88:$P$349,16,FALSE)</f>
        <v>400</v>
      </c>
    </row>
    <row r="26" spans="1:2" x14ac:dyDescent="0.2">
      <c r="A26" s="67" t="s">
        <v>211</v>
      </c>
      <c r="B26" s="72">
        <f>VLOOKUP(A26,Hulpblad!$A$88:$P$349,16,FALSE)</f>
        <v>17.483000000000001</v>
      </c>
    </row>
    <row r="27" spans="1:2" x14ac:dyDescent="0.2">
      <c r="A27" s="67" t="s">
        <v>212</v>
      </c>
      <c r="B27" s="72">
        <f>VLOOKUP(A27,Hulpblad!$A$88:$P$349,16,FALSE)</f>
        <v>309.50900000000001</v>
      </c>
    </row>
    <row r="28" spans="1:2" x14ac:dyDescent="0.2">
      <c r="A28" s="10" t="s">
        <v>213</v>
      </c>
      <c r="B28" s="72">
        <f>VLOOKUP(A28,Hulpblad!$A$88:$P$349,16,FALSE)</f>
        <v>399.75799999999998</v>
      </c>
    </row>
    <row r="29" spans="1:2" x14ac:dyDescent="0.2">
      <c r="A29" s="10" t="s">
        <v>214</v>
      </c>
      <c r="B29" s="72">
        <f>VLOOKUP(A29,Hulpblad!$A$88:$P$349,16,FALSE)</f>
        <v>400</v>
      </c>
    </row>
    <row r="30" spans="1:2" x14ac:dyDescent="0.2">
      <c r="A30" s="10" t="s">
        <v>216</v>
      </c>
      <c r="B30" s="72">
        <f>VLOOKUP(A30,Hulpblad!$A$88:$P$349,16,FALSE)</f>
        <v>350.22199999999998</v>
      </c>
    </row>
    <row r="31" spans="1:2" x14ac:dyDescent="0.2">
      <c r="A31" s="67" t="s">
        <v>217</v>
      </c>
      <c r="B31" s="72">
        <f>VLOOKUP(A31,Hulpblad!$A$88:$P$349,16,FALSE)</f>
        <v>172.44399999999999</v>
      </c>
    </row>
    <row r="32" spans="1:2" x14ac:dyDescent="0.2">
      <c r="A32" s="10" t="s">
        <v>119</v>
      </c>
      <c r="B32" s="72">
        <f>VLOOKUP(A32,Hulpblad!$A$88:$P$349,16,FALSE)</f>
        <v>205.333</v>
      </c>
    </row>
    <row r="33" spans="1:2" x14ac:dyDescent="0.2">
      <c r="A33" s="10" t="s">
        <v>120</v>
      </c>
      <c r="B33" s="72">
        <f>VLOOKUP(A33,Hulpblad!$A$88:$P$349,16,FALSE)</f>
        <v>273.33300000000003</v>
      </c>
    </row>
    <row r="34" spans="1:2" x14ac:dyDescent="0.2">
      <c r="A34" s="10" t="s">
        <v>136</v>
      </c>
      <c r="B34" s="72">
        <f>VLOOKUP(A34,Hulpblad!$A$88:$P$349,16,FALSE)</f>
        <v>-41.332999999999998</v>
      </c>
    </row>
    <row r="35" spans="1:2" ht="12.75" customHeight="1" x14ac:dyDescent="0.2">
      <c r="A35" s="10" t="s">
        <v>137</v>
      </c>
      <c r="B35" s="72">
        <f>VLOOKUP(A35,Hulpblad!$A$88:$P$349,16,FALSE)</f>
        <v>93.778000000000006</v>
      </c>
    </row>
    <row r="36" spans="1:2" ht="12.75" customHeight="1" x14ac:dyDescent="0.2">
      <c r="A36" s="10" t="s">
        <v>220</v>
      </c>
      <c r="B36" s="72">
        <f>VLOOKUP(A36,Hulpblad!$A$88:$P$349,16,FALSE)</f>
        <v>-48.889000000000003</v>
      </c>
    </row>
    <row r="37" spans="1:2" x14ac:dyDescent="0.2">
      <c r="A37" s="10" t="s">
        <v>412</v>
      </c>
      <c r="B37" s="72">
        <f>VLOOKUP(A37,Hulpblad!$A$88:$P$349,16,FALSE)</f>
        <v>210.39599999999999</v>
      </c>
    </row>
    <row r="38" spans="1:2" x14ac:dyDescent="0.2">
      <c r="A38" s="10" t="s">
        <v>413</v>
      </c>
      <c r="B38" s="72">
        <f>VLOOKUP(A38,Hulpblad!$A$88:$P$349,16,FALSE)</f>
        <v>399.89</v>
      </c>
    </row>
    <row r="39" spans="1:2" x14ac:dyDescent="0.2">
      <c r="A39" s="67" t="s">
        <v>414</v>
      </c>
      <c r="B39" s="137">
        <f>VLOOKUP(A39,Hulpblad!$A$88:$P$349,16,FALSE)</f>
        <v>399.94499999999999</v>
      </c>
    </row>
    <row r="40" spans="1:2" x14ac:dyDescent="0.2">
      <c r="A40" s="67" t="s">
        <v>415</v>
      </c>
      <c r="B40" s="137">
        <f>VLOOKUP(A40,Hulpblad!$A$88:$P$349,16,FALSE)</f>
        <v>345.31400000000002</v>
      </c>
    </row>
    <row r="41" spans="1:2" x14ac:dyDescent="0.2">
      <c r="A41" s="67" t="s">
        <v>416</v>
      </c>
      <c r="B41" s="137">
        <f>VLOOKUP(A41,Hulpblad!$A$88:$P$349,16,FALSE)</f>
        <v>303.483</v>
      </c>
    </row>
    <row r="42" spans="1:2" x14ac:dyDescent="0.2">
      <c r="A42" s="67" t="s">
        <v>83</v>
      </c>
      <c r="B42" s="72">
        <f>VLOOKUP(A42,Hulpblad!$A$88:$P$349,16,FALSE)</f>
        <v>112.36199999999999</v>
      </c>
    </row>
    <row r="43" spans="1:2" x14ac:dyDescent="0.2">
      <c r="A43" s="66" t="s">
        <v>84</v>
      </c>
      <c r="B43" s="72">
        <f>VLOOKUP(A43,Hulpblad!$A$88:$P$349,16,FALSE)</f>
        <v>88.007000000000005</v>
      </c>
    </row>
    <row r="44" spans="1:2" x14ac:dyDescent="0.2">
      <c r="A44" s="67" t="s">
        <v>97</v>
      </c>
      <c r="B44" s="72">
        <f>VLOOKUP(A44,Hulpblad!$A$88:$P$349,16,FALSE)</f>
        <v>72.557000000000002</v>
      </c>
    </row>
    <row r="45" spans="1:2" x14ac:dyDescent="0.2">
      <c r="A45" s="10" t="s">
        <v>86</v>
      </c>
      <c r="B45" s="72">
        <f>VLOOKUP(A45,Hulpblad!$A$88:$P$349,16,FALSE)</f>
        <v>112.36199999999999</v>
      </c>
    </row>
    <row r="46" spans="1:2" x14ac:dyDescent="0.2">
      <c r="A46" s="67" t="s">
        <v>87</v>
      </c>
      <c r="B46" s="72">
        <f>VLOOKUP(A46,Hulpblad!$A$88:$P$349,16,FALSE)</f>
        <v>88.007000000000005</v>
      </c>
    </row>
    <row r="47" spans="1:2" x14ac:dyDescent="0.2">
      <c r="A47" s="10" t="s">
        <v>98</v>
      </c>
      <c r="B47" s="72">
        <f>VLOOKUP(A47,Hulpblad!$A$88:$P$349,16,FALSE)</f>
        <v>72.557000000000002</v>
      </c>
    </row>
    <row r="48" spans="1:2" ht="12.75" customHeight="1" x14ac:dyDescent="0.2">
      <c r="A48" s="114" t="s">
        <v>153</v>
      </c>
      <c r="B48" s="72">
        <f>VLOOKUP(A48,Hulpblad!$A$88:$P$349,16,FALSE)</f>
        <v>377.09100000000001</v>
      </c>
    </row>
    <row r="49" spans="1:2" x14ac:dyDescent="0.2">
      <c r="A49" s="66" t="s">
        <v>175</v>
      </c>
      <c r="B49" s="72">
        <f>VLOOKUP(A49,Hulpblad!$A$88:$P$349,16,FALSE)</f>
        <v>329.92599999999999</v>
      </c>
    </row>
    <row r="50" spans="1:2" x14ac:dyDescent="0.2">
      <c r="A50" s="10" t="s">
        <v>89</v>
      </c>
      <c r="B50" s="72">
        <f>VLOOKUP(A50,Hulpblad!$A$88:$P$349,16,FALSE)</f>
        <v>175.839</v>
      </c>
    </row>
    <row r="51" spans="1:2" x14ac:dyDescent="0.2">
      <c r="A51" s="10" t="s">
        <v>19</v>
      </c>
      <c r="B51" s="72">
        <f>VLOOKUP(A51,Hulpblad!$A$88:$P$349,16,FALSE)</f>
        <v>38.076000000000001</v>
      </c>
    </row>
    <row r="52" spans="1:2" x14ac:dyDescent="0.2">
      <c r="A52" s="67" t="s">
        <v>139</v>
      </c>
      <c r="B52" s="137">
        <f>VLOOKUP(A52,Hulpblad!$A$88:$P$349,16,FALSE)</f>
        <v>399.89</v>
      </c>
    </row>
    <row r="53" spans="1:2" x14ac:dyDescent="0.2">
      <c r="A53" s="67" t="s">
        <v>138</v>
      </c>
      <c r="B53" s="137">
        <f>VLOOKUP(A53,Hulpblad!$A$88:$P$349,16,FALSE)</f>
        <v>355.22699999999998</v>
      </c>
    </row>
    <row r="54" spans="1:2" x14ac:dyDescent="0.2">
      <c r="A54" s="67" t="s">
        <v>226</v>
      </c>
      <c r="B54" s="137">
        <f>VLOOKUP(A54,Hulpblad!$A$88:$P$349,16,FALSE)</f>
        <v>400.108</v>
      </c>
    </row>
    <row r="55" spans="1:2" x14ac:dyDescent="0.2">
      <c r="A55" s="67" t="s">
        <v>228</v>
      </c>
      <c r="B55" s="137">
        <f>VLOOKUP(A55,Hulpblad!$A$88:$P$349,16,FALSE)</f>
        <v>373.029</v>
      </c>
    </row>
    <row r="56" spans="1:2" x14ac:dyDescent="0.2">
      <c r="A56" s="66" t="s">
        <v>140</v>
      </c>
      <c r="B56" s="72">
        <f>VLOOKUP(A56,Hulpblad!$A$88:$P$349,16,FALSE)</f>
        <v>395.28500000000003</v>
      </c>
    </row>
    <row r="57" spans="1:2" x14ac:dyDescent="0.2">
      <c r="A57" s="67" t="s">
        <v>176</v>
      </c>
      <c r="B57" s="72">
        <f>VLOOKUP(A57,Hulpblad!$A$88:$P$349,16,FALSE)</f>
        <v>245.19499999999999</v>
      </c>
    </row>
    <row r="58" spans="1:2" x14ac:dyDescent="0.2">
      <c r="A58" s="10" t="s">
        <v>156</v>
      </c>
      <c r="B58" s="72">
        <f>VLOOKUP(A58,Hulpblad!$A$88:$P$349,16,FALSE)</f>
        <v>52.393999999999998</v>
      </c>
    </row>
    <row r="59" spans="1:2" x14ac:dyDescent="0.2">
      <c r="A59" s="67" t="s">
        <v>3</v>
      </c>
      <c r="B59" s="72">
        <f>VLOOKUP(A59,Hulpblad!$A$88:$P$349,16,FALSE)</f>
        <v>105.691</v>
      </c>
    </row>
    <row r="60" spans="1:2" x14ac:dyDescent="0.2">
      <c r="A60" s="66" t="s">
        <v>4</v>
      </c>
      <c r="B60" s="72">
        <f>VLOOKUP(A60,Hulpblad!$A$88:$P$349,16,FALSE)</f>
        <v>160.79499999999999</v>
      </c>
    </row>
    <row r="61" spans="1:2" x14ac:dyDescent="0.2">
      <c r="A61" s="10" t="s">
        <v>9</v>
      </c>
      <c r="B61" s="72">
        <f>VLOOKUP(A61,Hulpblad!$A$88:$P$349,16,FALSE)</f>
        <v>202.34899999999999</v>
      </c>
    </row>
    <row r="62" spans="1:2" x14ac:dyDescent="0.2">
      <c r="A62" s="10" t="s">
        <v>8</v>
      </c>
      <c r="B62" s="72">
        <f>VLOOKUP(A62,Hulpblad!$A$88:$P$349,16,FALSE)</f>
        <v>251.12899999999999</v>
      </c>
    </row>
    <row r="63" spans="1:2" x14ac:dyDescent="0.2">
      <c r="A63" s="67" t="s">
        <v>157</v>
      </c>
      <c r="B63" s="72">
        <f>VLOOKUP(A63,Hulpblad!$A$88:$P$349,16,FALSE)</f>
        <v>162.602</v>
      </c>
    </row>
    <row r="64" spans="1:2" x14ac:dyDescent="0.2">
      <c r="A64" s="10" t="s">
        <v>14</v>
      </c>
      <c r="B64" s="72">
        <f>VLOOKUP(A64,Hulpblad!$A$88:$P$349,16,FALSE)</f>
        <v>237.57900000000001</v>
      </c>
    </row>
    <row r="65" spans="1:2" x14ac:dyDescent="0.2">
      <c r="A65" s="10" t="s">
        <v>15</v>
      </c>
      <c r="B65" s="72">
        <f>VLOOKUP(A65,Hulpblad!$A$88:$P$349,16,FALSE)</f>
        <v>299.91000000000003</v>
      </c>
    </row>
    <row r="66" spans="1:2" x14ac:dyDescent="0.2">
      <c r="A66" s="10" t="s">
        <v>16</v>
      </c>
      <c r="B66" s="72">
        <f>VLOOKUP(A66,Hulpblad!$A$88:$P$349,16,FALSE)</f>
        <v>299.91000000000003</v>
      </c>
    </row>
    <row r="67" spans="1:2" x14ac:dyDescent="0.2">
      <c r="A67" s="10" t="s">
        <v>17</v>
      </c>
      <c r="B67" s="72">
        <f>VLOOKUP(A67,Hulpblad!$A$88:$P$349,16,FALSE)</f>
        <v>299.91000000000003</v>
      </c>
    </row>
    <row r="68" spans="1:2" x14ac:dyDescent="0.2">
      <c r="A68" s="10" t="s">
        <v>158</v>
      </c>
      <c r="B68" s="72">
        <f>VLOOKUP(A68,Hulpblad!$A$88:$P$349,16,FALSE)</f>
        <v>113.821</v>
      </c>
    </row>
    <row r="69" spans="1:2" x14ac:dyDescent="0.2">
      <c r="A69" s="67" t="s">
        <v>10</v>
      </c>
      <c r="B69" s="72">
        <f>VLOOKUP(A69,Hulpblad!$A$88:$P$349,16,FALSE)</f>
        <v>175.24799999999999</v>
      </c>
    </row>
    <row r="70" spans="1:2" x14ac:dyDescent="0.2">
      <c r="A70" s="67" t="s">
        <v>11</v>
      </c>
      <c r="B70" s="72">
        <f>VLOOKUP(A70,Hulpblad!$A$88:$P$349,16,FALSE)</f>
        <v>235.77199999999999</v>
      </c>
    </row>
    <row r="71" spans="1:2" ht="12.75" customHeight="1" x14ac:dyDescent="0.2">
      <c r="A71" s="67" t="s">
        <v>12</v>
      </c>
      <c r="B71" s="72">
        <f>VLOOKUP(A71,Hulpblad!$A$88:$P$349,16,FALSE)</f>
        <v>282.74599999999998</v>
      </c>
    </row>
    <row r="72" spans="1:2" x14ac:dyDescent="0.2">
      <c r="A72" s="67" t="s">
        <v>13</v>
      </c>
      <c r="B72" s="72">
        <f>VLOOKUP(A72,Hulpblad!$A$88:$P$349,16,FALSE)</f>
        <v>299.91000000000003</v>
      </c>
    </row>
    <row r="73" spans="1:2" x14ac:dyDescent="0.2">
      <c r="A73" s="10" t="s">
        <v>103</v>
      </c>
      <c r="B73" s="72">
        <f>VLOOKUP(A73,Hulpblad!$A$88:$P$349,16,FALSE)</f>
        <v>92.552999999999997</v>
      </c>
    </row>
    <row r="74" spans="1:2" x14ac:dyDescent="0.2">
      <c r="A74" s="10" t="s">
        <v>104</v>
      </c>
      <c r="B74" s="72">
        <f>VLOOKUP(A74,Hulpblad!$A$88:$P$349,16,FALSE)</f>
        <v>104.71599999999999</v>
      </c>
    </row>
    <row r="75" spans="1:2" x14ac:dyDescent="0.2">
      <c r="A75" s="66" t="s">
        <v>232</v>
      </c>
      <c r="B75" s="72">
        <f>VLOOKUP(A75,Hulpblad!$A$88:$P$349,16,FALSE)</f>
        <v>110.633</v>
      </c>
    </row>
    <row r="76" spans="1:2" x14ac:dyDescent="0.2">
      <c r="A76" s="66" t="s">
        <v>233</v>
      </c>
      <c r="B76" s="72">
        <f>VLOOKUP(A76,Hulpblad!$A$88:$P$349,16,FALSE)</f>
        <v>138.28899999999999</v>
      </c>
    </row>
    <row r="77" spans="1:2" x14ac:dyDescent="0.2">
      <c r="A77" s="10" t="s">
        <v>159</v>
      </c>
      <c r="B77" s="72">
        <f>VLOOKUP(A77,Hulpblad!$A$88:$P$349,16,FALSE)</f>
        <v>263.846</v>
      </c>
    </row>
    <row r="78" spans="1:2" x14ac:dyDescent="0.2">
      <c r="A78" s="66" t="s">
        <v>105</v>
      </c>
      <c r="B78" s="72">
        <f>VLOOKUP(A78,Hulpblad!$A$88:$P$349,16,FALSE)</f>
        <v>229.70500000000001</v>
      </c>
    </row>
    <row r="79" spans="1:2" x14ac:dyDescent="0.2">
      <c r="A79" s="10" t="s">
        <v>106</v>
      </c>
      <c r="B79" s="72">
        <f>VLOOKUP(A79,Hulpblad!$A$88:$P$349,16,FALSE)</f>
        <v>215.708</v>
      </c>
    </row>
    <row r="80" spans="1:2" ht="12.75" customHeight="1" x14ac:dyDescent="0.2">
      <c r="A80" s="10" t="s">
        <v>160</v>
      </c>
      <c r="B80" s="72">
        <f>VLOOKUP(A80,Hulpblad!$A$88:$P$349,16,FALSE)</f>
        <v>227.13900000000001</v>
      </c>
    </row>
    <row r="81" spans="1:2" x14ac:dyDescent="0.2">
      <c r="A81" s="67" t="s">
        <v>161</v>
      </c>
      <c r="B81" s="72">
        <f>VLOOKUP(A81,Hulpblad!$A$88:$P$349,16,FALSE)</f>
        <v>175.88499999999999</v>
      </c>
    </row>
    <row r="82" spans="1:2" x14ac:dyDescent="0.2">
      <c r="A82" s="66" t="s">
        <v>141</v>
      </c>
      <c r="B82" s="72">
        <f>VLOOKUP(A82,Hulpblad!$A$88:$P$349,16,FALSE)</f>
        <v>61.500999999999998</v>
      </c>
    </row>
    <row r="83" spans="1:2" x14ac:dyDescent="0.2">
      <c r="A83" s="114" t="s">
        <v>162</v>
      </c>
      <c r="B83" s="72">
        <f>VLOOKUP(A83,Hulpblad!$A$88:$P$349,16,FALSE)</f>
        <v>208.85599999999999</v>
      </c>
    </row>
    <row r="84" spans="1:2" x14ac:dyDescent="0.2">
      <c r="A84" s="10" t="s">
        <v>163</v>
      </c>
      <c r="B84" s="72">
        <f>VLOOKUP(A84,Hulpblad!$A$88:$P$349,16,FALSE)</f>
        <v>188.261</v>
      </c>
    </row>
    <row r="85" spans="1:2" x14ac:dyDescent="0.2">
      <c r="A85" s="10" t="s">
        <v>234</v>
      </c>
      <c r="B85" s="72">
        <f>VLOOKUP(A85,Hulpblad!$A$88:$P$349,16,FALSE)</f>
        <v>176.08</v>
      </c>
    </row>
    <row r="86" spans="1:2" x14ac:dyDescent="0.2">
      <c r="A86" s="66" t="s">
        <v>235</v>
      </c>
      <c r="B86" s="72">
        <f>VLOOKUP(A86,Hulpblad!$A$88:$P$349,16,FALSE)</f>
        <v>300.14699999999999</v>
      </c>
    </row>
    <row r="87" spans="1:2" x14ac:dyDescent="0.2">
      <c r="A87" s="10" t="s">
        <v>7</v>
      </c>
      <c r="B87" s="72">
        <f>VLOOKUP(A87,Hulpblad!$A$88:$P$349,16,FALSE)</f>
        <v>131.55600000000001</v>
      </c>
    </row>
    <row r="88" spans="1:2" x14ac:dyDescent="0.2">
      <c r="A88" s="10" t="s">
        <v>76</v>
      </c>
      <c r="B88" s="72">
        <f>VLOOKUP(A88,Hulpblad!$A$88:$P$349,16,FALSE)</f>
        <v>282.66699999999997</v>
      </c>
    </row>
    <row r="89" spans="1:2" x14ac:dyDescent="0.2">
      <c r="A89" s="10" t="s">
        <v>164</v>
      </c>
      <c r="B89" s="72">
        <f>VLOOKUP(A89,Hulpblad!$A$88:$P$349,16,FALSE)</f>
        <v>281.60399999999998</v>
      </c>
    </row>
    <row r="90" spans="1:2" x14ac:dyDescent="0.2">
      <c r="A90" s="10" t="s">
        <v>324</v>
      </c>
      <c r="B90" s="72">
        <f>VLOOKUP(A90,Hulpblad!$A$88:$P$349,16,FALSE)</f>
        <v>300</v>
      </c>
    </row>
    <row r="91" spans="1:2" x14ac:dyDescent="0.2">
      <c r="A91" s="114" t="s">
        <v>325</v>
      </c>
      <c r="B91" s="72">
        <f>VLOOKUP(A91,Hulpblad!$A$88:$P$349,16,FALSE)</f>
        <v>297.53899999999999</v>
      </c>
    </row>
    <row r="92" spans="1:2" x14ac:dyDescent="0.2">
      <c r="A92" s="10" t="s">
        <v>326</v>
      </c>
      <c r="B92" s="72">
        <f>VLOOKUP(A92,Hulpblad!$A$88:$P$349,16,FALSE)</f>
        <v>234.33799999999999</v>
      </c>
    </row>
    <row r="93" spans="1:2" x14ac:dyDescent="0.2">
      <c r="A93" s="66" t="s">
        <v>411</v>
      </c>
      <c r="B93" s="72">
        <f>VLOOKUP(A93,Hulpblad!$A$88:$P$349,16,FALSE)</f>
        <v>300</v>
      </c>
    </row>
    <row r="94" spans="1:2" x14ac:dyDescent="0.2">
      <c r="A94" s="66" t="s">
        <v>384</v>
      </c>
      <c r="B94" s="72">
        <f>VLOOKUP(A94,Hulpblad!$A$88:$P$349,16,FALSE)</f>
        <v>300</v>
      </c>
    </row>
    <row r="95" spans="1:2" ht="12.75" customHeight="1" x14ac:dyDescent="0.2">
      <c r="A95" s="114" t="s">
        <v>327</v>
      </c>
      <c r="B95" s="72">
        <f>VLOOKUP(A95,Hulpblad!$A$88:$P$349,16,FALSE)</f>
        <v>300</v>
      </c>
    </row>
    <row r="96" spans="1:2" x14ac:dyDescent="0.2">
      <c r="A96" s="67" t="s">
        <v>328</v>
      </c>
      <c r="B96" s="72">
        <f>VLOOKUP(A96,Hulpblad!$A$88:$P$349,16,FALSE)</f>
        <v>297.53899999999999</v>
      </c>
    </row>
    <row r="97" spans="1:2" x14ac:dyDescent="0.2">
      <c r="A97" s="66" t="s">
        <v>329</v>
      </c>
      <c r="B97" s="72">
        <f>VLOOKUP(A97,Hulpblad!$A$88:$P$349,16,FALSE)</f>
        <v>234.33799999999999</v>
      </c>
    </row>
    <row r="98" spans="1:2" x14ac:dyDescent="0.2">
      <c r="A98" s="10" t="s">
        <v>385</v>
      </c>
      <c r="B98" s="72">
        <f>VLOOKUP(A98,Hulpblad!$A$88:$P$349,16,FALSE)</f>
        <v>300</v>
      </c>
    </row>
    <row r="99" spans="1:2" x14ac:dyDescent="0.2">
      <c r="A99" s="10" t="s">
        <v>386</v>
      </c>
      <c r="B99" s="72">
        <f>VLOOKUP(A99,Hulpblad!$A$88:$P$349,16,FALSE)</f>
        <v>300</v>
      </c>
    </row>
    <row r="100" spans="1:2" x14ac:dyDescent="0.2">
      <c r="A100" s="10" t="s">
        <v>330</v>
      </c>
      <c r="B100" s="72">
        <f>VLOOKUP(A100,Hulpblad!$A$88:$P$349,16,FALSE)</f>
        <v>250.38</v>
      </c>
    </row>
    <row r="101" spans="1:2" x14ac:dyDescent="0.2">
      <c r="A101" s="10" t="s">
        <v>331</v>
      </c>
      <c r="B101" s="72">
        <f>VLOOKUP(A101,Hulpblad!$A$88:$P$349,16,FALSE)</f>
        <v>249.881</v>
      </c>
    </row>
    <row r="102" spans="1:2" x14ac:dyDescent="0.2">
      <c r="A102" s="10" t="s">
        <v>387</v>
      </c>
      <c r="B102" s="72">
        <f>VLOOKUP(A102,Hulpblad!$A$88:$P$349,16,FALSE)</f>
        <v>300</v>
      </c>
    </row>
    <row r="103" spans="1:2" x14ac:dyDescent="0.2">
      <c r="A103" s="10" t="s">
        <v>332</v>
      </c>
      <c r="B103" s="72">
        <f>VLOOKUP(A103,Hulpblad!$A$88:$P$349,16,FALSE)</f>
        <v>197.791</v>
      </c>
    </row>
    <row r="104" spans="1:2" x14ac:dyDescent="0.2">
      <c r="A104" s="10" t="s">
        <v>333</v>
      </c>
      <c r="B104" s="72">
        <f>VLOOKUP(A104,Hulpblad!$A$88:$P$349,16,FALSE)</f>
        <v>197.59899999999999</v>
      </c>
    </row>
    <row r="105" spans="1:2" x14ac:dyDescent="0.2">
      <c r="A105" s="10" t="s">
        <v>388</v>
      </c>
      <c r="B105" s="72">
        <f>VLOOKUP(A105,Hulpblad!$A$88:$P$349,16,FALSE)</f>
        <v>253.666</v>
      </c>
    </row>
    <row r="106" spans="1:2" x14ac:dyDescent="0.2">
      <c r="A106" s="10" t="s">
        <v>334</v>
      </c>
      <c r="B106" s="72">
        <f>VLOOKUP(A106,Hulpblad!$A$88:$P$349,16,FALSE)</f>
        <v>165.96799999999999</v>
      </c>
    </row>
    <row r="107" spans="1:2" x14ac:dyDescent="0.2">
      <c r="A107" s="10" t="s">
        <v>335</v>
      </c>
      <c r="B107" s="72">
        <f>VLOOKUP(A107,Hulpblad!$A$88:$P$349,16,FALSE)</f>
        <v>171.57400000000001</v>
      </c>
    </row>
    <row r="108" spans="1:2" x14ac:dyDescent="0.2">
      <c r="A108" s="10" t="s">
        <v>389</v>
      </c>
      <c r="B108" s="72">
        <f>VLOOKUP(A108,Hulpblad!$A$88:$P$349,16,FALSE)</f>
        <v>227.26599999999999</v>
      </c>
    </row>
    <row r="109" spans="1:2" x14ac:dyDescent="0.2">
      <c r="A109" s="10" t="s">
        <v>250</v>
      </c>
      <c r="B109" s="72">
        <f>VLOOKUP(A109,Hulpblad!$A$88:$P$349,16,FALSE)</f>
        <v>300</v>
      </c>
    </row>
    <row r="110" spans="1:2" x14ac:dyDescent="0.2">
      <c r="A110" s="10" t="s">
        <v>336</v>
      </c>
      <c r="B110" s="72">
        <f>VLOOKUP(A110,Hulpblad!$A$88:$P$349,16,FALSE)</f>
        <v>300</v>
      </c>
    </row>
    <row r="111" spans="1:2" x14ac:dyDescent="0.2">
      <c r="A111" s="10" t="s">
        <v>337</v>
      </c>
      <c r="B111" s="72">
        <f>VLOOKUP(A111,Hulpblad!$A$88:$P$349,16,FALSE)</f>
        <v>297.53899999999999</v>
      </c>
    </row>
    <row r="112" spans="1:2" x14ac:dyDescent="0.2">
      <c r="A112" s="10" t="s">
        <v>338</v>
      </c>
      <c r="B112" s="72">
        <f>VLOOKUP(A112,Hulpblad!$A$88:$P$349,16,FALSE)</f>
        <v>234.33799999999999</v>
      </c>
    </row>
    <row r="113" spans="1:2" x14ac:dyDescent="0.2">
      <c r="A113" s="10" t="s">
        <v>390</v>
      </c>
      <c r="B113" s="72">
        <f>VLOOKUP(A113,Hulpblad!$A$88:$P$349,16,FALSE)</f>
        <v>300</v>
      </c>
    </row>
    <row r="114" spans="1:2" x14ac:dyDescent="0.2">
      <c r="A114" s="10" t="s">
        <v>391</v>
      </c>
      <c r="B114" s="72">
        <f>VLOOKUP(A114,Hulpblad!$A$88:$P$349,16,FALSE)</f>
        <v>300</v>
      </c>
    </row>
    <row r="115" spans="1:2" x14ac:dyDescent="0.2">
      <c r="A115" s="10" t="s">
        <v>339</v>
      </c>
      <c r="B115" s="72">
        <f>VLOOKUP(A115,Hulpblad!$A$88:$P$349,16,FALSE)</f>
        <v>250.38</v>
      </c>
    </row>
    <row r="116" spans="1:2" x14ac:dyDescent="0.2">
      <c r="A116" s="10" t="s">
        <v>340</v>
      </c>
      <c r="B116" s="72">
        <f>VLOOKUP(A116,Hulpblad!$A$88:$P$349,16,FALSE)</f>
        <v>249.881</v>
      </c>
    </row>
    <row r="117" spans="1:2" x14ac:dyDescent="0.2">
      <c r="A117" s="10" t="s">
        <v>392</v>
      </c>
      <c r="B117" s="72">
        <f>VLOOKUP(A117,Hulpblad!$A$88:$P$349,16,FALSE)</f>
        <v>300</v>
      </c>
    </row>
    <row r="118" spans="1:2" x14ac:dyDescent="0.2">
      <c r="A118" s="10" t="s">
        <v>341</v>
      </c>
      <c r="B118" s="72">
        <f>VLOOKUP(A118,Hulpblad!$A$88:$P$349,16,FALSE)</f>
        <v>156.892</v>
      </c>
    </row>
    <row r="119" spans="1:2" x14ac:dyDescent="0.2">
      <c r="A119" s="10" t="s">
        <v>342</v>
      </c>
      <c r="B119" s="72">
        <f>VLOOKUP(A119,Hulpblad!$A$88:$P$349,16,FALSE)</f>
        <v>151.696</v>
      </c>
    </row>
    <row r="120" spans="1:2" x14ac:dyDescent="0.2">
      <c r="A120" s="10" t="s">
        <v>343</v>
      </c>
      <c r="B120" s="72">
        <f>VLOOKUP(A120,Hulpblad!$A$88:$P$349,16,FALSE)</f>
        <v>88.494</v>
      </c>
    </row>
    <row r="121" spans="1:2" x14ac:dyDescent="0.2">
      <c r="A121" s="10" t="s">
        <v>393</v>
      </c>
      <c r="B121" s="72">
        <f>VLOOKUP(A121,Hulpblad!$A$88:$P$349,16,FALSE)</f>
        <v>259.35000000000002</v>
      </c>
    </row>
    <row r="122" spans="1:2" x14ac:dyDescent="0.2">
      <c r="A122" s="10" t="s">
        <v>394</v>
      </c>
      <c r="B122" s="72">
        <f>VLOOKUP(A122,Hulpblad!$A$88:$P$349,16,FALSE)</f>
        <v>196.149</v>
      </c>
    </row>
    <row r="123" spans="1:2" x14ac:dyDescent="0.2">
      <c r="A123" s="10" t="s">
        <v>344</v>
      </c>
      <c r="B123" s="72">
        <f>VLOOKUP(A123,Hulpblad!$A$88:$P$349,16,FALSE)</f>
        <v>11.281000000000001</v>
      </c>
    </row>
    <row r="124" spans="1:2" x14ac:dyDescent="0.2">
      <c r="A124" s="10" t="s">
        <v>345</v>
      </c>
      <c r="B124" s="72">
        <f>VLOOKUP(A124,Hulpblad!$A$88:$P$349,16,FALSE)</f>
        <v>15.053000000000001</v>
      </c>
    </row>
    <row r="125" spans="1:2" x14ac:dyDescent="0.2">
      <c r="A125" s="10" t="s">
        <v>395</v>
      </c>
      <c r="B125" s="72">
        <f>VLOOKUP(A125,Hulpblad!$A$88:$P$349,16,FALSE)</f>
        <v>71.12</v>
      </c>
    </row>
    <row r="126" spans="1:2" x14ac:dyDescent="0.2">
      <c r="A126" s="10" t="s">
        <v>346</v>
      </c>
      <c r="B126" s="72">
        <f>VLOOKUP(A126,Hulpblad!$A$88:$P$349,16,FALSE)</f>
        <v>46.685000000000002</v>
      </c>
    </row>
    <row r="127" spans="1:2" x14ac:dyDescent="0.2">
      <c r="A127" s="10" t="s">
        <v>347</v>
      </c>
      <c r="B127" s="72">
        <f>VLOOKUP(A127,Hulpblad!$A$88:$P$349,16,FALSE)</f>
        <v>45.686999999999998</v>
      </c>
    </row>
    <row r="128" spans="1:2" x14ac:dyDescent="0.2">
      <c r="A128" s="10" t="s">
        <v>396</v>
      </c>
      <c r="B128" s="72">
        <f>VLOOKUP(A128,Hulpblad!$A$88:$P$349,16,FALSE)</f>
        <v>101.754</v>
      </c>
    </row>
    <row r="129" spans="1:2" x14ac:dyDescent="0.2">
      <c r="A129" s="10" t="s">
        <v>348</v>
      </c>
      <c r="B129" s="72">
        <f>VLOOKUP(A129,Hulpblad!$A$88:$P$349,16,FALSE)</f>
        <v>15.867000000000001</v>
      </c>
    </row>
    <row r="130" spans="1:2" x14ac:dyDescent="0.2">
      <c r="A130" s="10" t="s">
        <v>349</v>
      </c>
      <c r="B130" s="72">
        <f>VLOOKUP(A130,Hulpblad!$A$88:$P$349,16,FALSE)</f>
        <v>20.678999999999998</v>
      </c>
    </row>
    <row r="131" spans="1:2" x14ac:dyDescent="0.2">
      <c r="A131" s="10" t="s">
        <v>397</v>
      </c>
      <c r="B131" s="72">
        <f>VLOOKUP(A131,Hulpblad!$A$88:$P$349,16,FALSE)</f>
        <v>76.370999999999995</v>
      </c>
    </row>
    <row r="132" spans="1:2" x14ac:dyDescent="0.2">
      <c r="A132" s="10" t="s">
        <v>350</v>
      </c>
      <c r="B132" s="72">
        <f>VLOOKUP(A132,Hulpblad!$A$88:$P$349,16,FALSE)</f>
        <v>198.68799999999999</v>
      </c>
    </row>
    <row r="133" spans="1:2" x14ac:dyDescent="0.2">
      <c r="A133" s="10" t="s">
        <v>351</v>
      </c>
      <c r="B133" s="72">
        <f>VLOOKUP(A133,Hulpblad!$A$88:$P$349,16,FALSE)</f>
        <v>211.22399999999999</v>
      </c>
    </row>
    <row r="134" spans="1:2" x14ac:dyDescent="0.2">
      <c r="A134" s="10" t="s">
        <v>398</v>
      </c>
      <c r="B134" s="72">
        <f>VLOOKUP(A134,Hulpblad!$A$88:$P$349,16,FALSE)</f>
        <v>262.21800000000002</v>
      </c>
    </row>
    <row r="135" spans="1:2" x14ac:dyDescent="0.2">
      <c r="A135" s="10" t="s">
        <v>271</v>
      </c>
      <c r="B135" s="72">
        <f>VLOOKUP(A135,Hulpblad!$A$88:$P$349,16,FALSE)</f>
        <v>160.68899999999999</v>
      </c>
    </row>
    <row r="136" spans="1:2" x14ac:dyDescent="0.2">
      <c r="A136" s="10" t="s">
        <v>272</v>
      </c>
      <c r="B136" s="72">
        <f>VLOOKUP(A136,Hulpblad!$A$88:$P$349,16,FALSE)</f>
        <v>173.173</v>
      </c>
    </row>
    <row r="137" spans="1:2" x14ac:dyDescent="0.2">
      <c r="A137" s="10" t="s">
        <v>399</v>
      </c>
      <c r="B137" s="72">
        <f>VLOOKUP(A137,Hulpblad!$A$88:$P$349,16,FALSE)</f>
        <v>225.179</v>
      </c>
    </row>
    <row r="138" spans="1:2" x14ac:dyDescent="0.2">
      <c r="A138" s="10" t="s">
        <v>352</v>
      </c>
      <c r="B138" s="72">
        <f>VLOOKUP(A138,Hulpblad!$A$88:$P$349,16,FALSE)</f>
        <v>110.05500000000001</v>
      </c>
    </row>
    <row r="139" spans="1:2" x14ac:dyDescent="0.2">
      <c r="A139" s="10" t="s">
        <v>353</v>
      </c>
      <c r="B139" s="72">
        <f>VLOOKUP(A139,Hulpblad!$A$88:$P$349,16,FALSE)</f>
        <v>105.76300000000001</v>
      </c>
    </row>
    <row r="140" spans="1:2" x14ac:dyDescent="0.2">
      <c r="A140" s="10" t="s">
        <v>400</v>
      </c>
      <c r="B140" s="72">
        <f>VLOOKUP(A140,Hulpblad!$A$88:$P$349,16,FALSE)</f>
        <v>167.31</v>
      </c>
    </row>
    <row r="141" spans="1:2" x14ac:dyDescent="0.2">
      <c r="A141" s="10" t="s">
        <v>354</v>
      </c>
      <c r="B141" s="72">
        <f>VLOOKUP(A141,Hulpblad!$A$88:$P$349,16,FALSE)</f>
        <v>82.283000000000001</v>
      </c>
    </row>
    <row r="142" spans="1:2" x14ac:dyDescent="0.2">
      <c r="A142" s="10" t="s">
        <v>355</v>
      </c>
      <c r="B142" s="72">
        <f>VLOOKUP(A142,Hulpblad!$A$88:$P$349,16,FALSE)</f>
        <v>72.233000000000004</v>
      </c>
    </row>
    <row r="143" spans="1:2" x14ac:dyDescent="0.2">
      <c r="A143" s="10" t="s">
        <v>401</v>
      </c>
      <c r="B143" s="72">
        <f>VLOOKUP(A143,Hulpblad!$A$88:$P$349,16,FALSE)</f>
        <v>132.62299999999999</v>
      </c>
    </row>
    <row r="144" spans="1:2" x14ac:dyDescent="0.2">
      <c r="A144" s="10" t="s">
        <v>356</v>
      </c>
      <c r="B144" s="72">
        <f>VLOOKUP(A144,Hulpblad!$A$88:$P$349,16,FALSE)</f>
        <v>300</v>
      </c>
    </row>
    <row r="145" spans="1:2" x14ac:dyDescent="0.2">
      <c r="A145" s="10" t="s">
        <v>357</v>
      </c>
      <c r="B145" s="72">
        <f>VLOOKUP(A145,Hulpblad!$A$88:$P$349,16,FALSE)</f>
        <v>297.53899999999999</v>
      </c>
    </row>
    <row r="146" spans="1:2" x14ac:dyDescent="0.2">
      <c r="A146" s="10" t="s">
        <v>358</v>
      </c>
      <c r="B146" s="72">
        <f>VLOOKUP(A146,Hulpblad!$A$88:$P$349,16,FALSE)</f>
        <v>234.33799999999999</v>
      </c>
    </row>
    <row r="147" spans="1:2" x14ac:dyDescent="0.2">
      <c r="A147" s="10" t="s">
        <v>402</v>
      </c>
      <c r="B147" s="72">
        <f>VLOOKUP(A147,Hulpblad!$A$88:$P$349,16,FALSE)</f>
        <v>300</v>
      </c>
    </row>
    <row r="148" spans="1:2" x14ac:dyDescent="0.2">
      <c r="A148" s="10" t="s">
        <v>403</v>
      </c>
      <c r="B148" s="72">
        <f>VLOOKUP(A148,Hulpblad!$A$88:$P$349,16,FALSE)</f>
        <v>300</v>
      </c>
    </row>
    <row r="149" spans="1:2" x14ac:dyDescent="0.2">
      <c r="A149" s="10" t="s">
        <v>359</v>
      </c>
      <c r="B149" s="72">
        <f>VLOOKUP(A149,Hulpblad!$A$88:$P$349,16,FALSE)</f>
        <v>162.386</v>
      </c>
    </row>
    <row r="150" spans="1:2" x14ac:dyDescent="0.2">
      <c r="A150" s="10" t="s">
        <v>360</v>
      </c>
      <c r="B150" s="72">
        <f>VLOOKUP(A150,Hulpblad!$A$88:$P$349,16,FALSE)</f>
        <v>166.965</v>
      </c>
    </row>
    <row r="151" spans="1:2" x14ac:dyDescent="0.2">
      <c r="A151" s="10" t="s">
        <v>404</v>
      </c>
      <c r="B151" s="72">
        <f>VLOOKUP(A151,Hulpblad!$A$88:$P$349,16,FALSE)</f>
        <v>223.03200000000001</v>
      </c>
    </row>
    <row r="152" spans="1:2" x14ac:dyDescent="0.2">
      <c r="A152" s="10" t="s">
        <v>361</v>
      </c>
      <c r="B152" s="72">
        <f>VLOOKUP(A152,Hulpblad!$A$88:$P$349,16,FALSE)</f>
        <v>197.791</v>
      </c>
    </row>
    <row r="153" spans="1:2" x14ac:dyDescent="0.2">
      <c r="A153" s="10" t="s">
        <v>362</v>
      </c>
      <c r="B153" s="72">
        <f>VLOOKUP(A153,Hulpblad!$A$88:$P$349,16,FALSE)</f>
        <v>197.59899999999999</v>
      </c>
    </row>
    <row r="154" spans="1:2" x14ac:dyDescent="0.2">
      <c r="A154" s="10" t="s">
        <v>405</v>
      </c>
      <c r="B154" s="72">
        <f>VLOOKUP(A154,Hulpblad!$A$88:$P$349,16,FALSE)</f>
        <v>253.666</v>
      </c>
    </row>
    <row r="155" spans="1:2" x14ac:dyDescent="0.2">
      <c r="A155" s="10" t="s">
        <v>363</v>
      </c>
      <c r="B155" s="72">
        <f>VLOOKUP(A155,Hulpblad!$A$88:$P$349,16,FALSE)</f>
        <v>165.96799999999999</v>
      </c>
    </row>
    <row r="156" spans="1:2" x14ac:dyDescent="0.2">
      <c r="A156" s="10" t="s">
        <v>364</v>
      </c>
      <c r="B156" s="72">
        <f>VLOOKUP(A156,Hulpblad!$A$88:$P$349,16,FALSE)</f>
        <v>171.57400000000001</v>
      </c>
    </row>
    <row r="157" spans="1:2" x14ac:dyDescent="0.2">
      <c r="A157" s="10" t="s">
        <v>406</v>
      </c>
      <c r="B157" s="72">
        <f>VLOOKUP(A157,Hulpblad!$A$88:$P$349,16,FALSE)</f>
        <v>227.26599999999999</v>
      </c>
    </row>
    <row r="158" spans="1:2" x14ac:dyDescent="0.2">
      <c r="A158" s="10" t="s">
        <v>288</v>
      </c>
      <c r="B158" s="72">
        <f>VLOOKUP(A158,Hulpblad!$A$88:$P$349,16,FALSE)</f>
        <v>300</v>
      </c>
    </row>
    <row r="159" spans="1:2" x14ac:dyDescent="0.2">
      <c r="A159" s="10" t="s">
        <v>289</v>
      </c>
      <c r="B159" s="72">
        <f>VLOOKUP(A159,Hulpblad!$A$88:$P$349,16,FALSE)</f>
        <v>300</v>
      </c>
    </row>
    <row r="160" spans="1:2" x14ac:dyDescent="0.2">
      <c r="A160" s="10" t="s">
        <v>407</v>
      </c>
      <c r="B160" s="72">
        <f>VLOOKUP(A160,Hulpblad!$A$88:$P$349,16,FALSE)</f>
        <v>300</v>
      </c>
    </row>
    <row r="161" spans="1:2" x14ac:dyDescent="0.2">
      <c r="A161" s="10" t="s">
        <v>290</v>
      </c>
      <c r="B161" s="72">
        <f>VLOOKUP(A161,Hulpblad!$A$88:$P$349,16,FALSE)</f>
        <v>300</v>
      </c>
    </row>
    <row r="162" spans="1:2" x14ac:dyDescent="0.2">
      <c r="A162" s="10" t="s">
        <v>291</v>
      </c>
      <c r="B162" s="72">
        <f>VLOOKUP(A162,Hulpblad!$A$88:$P$349,16,FALSE)</f>
        <v>300</v>
      </c>
    </row>
    <row r="163" spans="1:2" x14ac:dyDescent="0.2">
      <c r="A163" s="10" t="s">
        <v>408</v>
      </c>
      <c r="B163" s="72">
        <f>VLOOKUP(A163,Hulpblad!$A$88:$P$349,16,FALSE)</f>
        <v>300</v>
      </c>
    </row>
    <row r="164" spans="1:2" x14ac:dyDescent="0.2">
      <c r="A164" s="10" t="s">
        <v>365</v>
      </c>
      <c r="B164" s="72">
        <f>VLOOKUP(A164,Hulpblad!$A$88:$P$349,16,FALSE)</f>
        <v>276.10700000000003</v>
      </c>
    </row>
    <row r="165" spans="1:2" x14ac:dyDescent="0.2">
      <c r="A165" s="10" t="s">
        <v>366</v>
      </c>
      <c r="B165" s="72">
        <f>VLOOKUP(A165,Hulpblad!$A$88:$P$349,16,FALSE)</f>
        <v>272.524</v>
      </c>
    </row>
    <row r="166" spans="1:2" x14ac:dyDescent="0.2">
      <c r="A166" s="10" t="s">
        <v>409</v>
      </c>
      <c r="B166" s="72">
        <f>VLOOKUP(A166,Hulpblad!$A$88:$P$349,16,FALSE)</f>
        <v>300</v>
      </c>
    </row>
    <row r="167" spans="1:2" x14ac:dyDescent="0.2">
      <c r="A167" s="10" t="s">
        <v>367</v>
      </c>
      <c r="B167" s="72">
        <f>VLOOKUP(A167,Hulpblad!$A$88:$P$349,16,FALSE)</f>
        <v>245.226</v>
      </c>
    </row>
    <row r="168" spans="1:2" x14ac:dyDescent="0.2">
      <c r="A168" s="10" t="s">
        <v>368</v>
      </c>
      <c r="B168" s="72">
        <f>VLOOKUP(A168,Hulpblad!$A$88:$P$349,16,FALSE)</f>
        <v>235.858</v>
      </c>
    </row>
    <row r="169" spans="1:2" x14ac:dyDescent="0.2">
      <c r="A169" s="10" t="s">
        <v>410</v>
      </c>
      <c r="B169" s="72">
        <f>VLOOKUP(A169,Hulpblad!$A$88:$P$349,16,FALSE)</f>
        <v>296.24799999999999</v>
      </c>
    </row>
    <row r="170" spans="1:2" x14ac:dyDescent="0.2">
      <c r="A170" s="10" t="s">
        <v>369</v>
      </c>
      <c r="B170" s="72">
        <f>VLOOKUP(A170,Hulpblad!$A$88:$P$349,16,FALSE)</f>
        <v>4.9329999999999998</v>
      </c>
    </row>
    <row r="171" spans="1:2" x14ac:dyDescent="0.2">
      <c r="A171" s="10" t="s">
        <v>370</v>
      </c>
      <c r="B171" s="72">
        <f>VLOOKUP(A171,Hulpblad!$A$88:$P$349,16,FALSE)</f>
        <v>22.009</v>
      </c>
    </row>
    <row r="172" spans="1:2" x14ac:dyDescent="0.2">
      <c r="A172" s="10" t="s">
        <v>371</v>
      </c>
      <c r="B172" s="72">
        <f>VLOOKUP(A172,Hulpblad!$A$88:$P$349,16,FALSE)</f>
        <v>107.18300000000001</v>
      </c>
    </row>
    <row r="173" spans="1:2" x14ac:dyDescent="0.2">
      <c r="A173" s="10" t="s">
        <v>372</v>
      </c>
      <c r="B173" s="72">
        <f>VLOOKUP(A173,Hulpblad!$A$88:$P$349,16,FALSE)</f>
        <v>126.14400000000001</v>
      </c>
    </row>
    <row r="174" spans="1:2" x14ac:dyDescent="0.2">
      <c r="A174" s="10" t="s">
        <v>373</v>
      </c>
      <c r="B174" s="72">
        <f>VLOOKUP(A174,Hulpblad!$A$88:$P$349,16,FALSE)</f>
        <v>72.171999999999997</v>
      </c>
    </row>
    <row r="175" spans="1:2" x14ac:dyDescent="0.2">
      <c r="A175" s="10" t="s">
        <v>374</v>
      </c>
      <c r="B175" s="72">
        <f>VLOOKUP(A175,Hulpblad!$A$88:$P$349,16,FALSE)</f>
        <v>90.734999999999999</v>
      </c>
    </row>
    <row r="176" spans="1:2" x14ac:dyDescent="0.2">
      <c r="A176" s="10" t="s">
        <v>375</v>
      </c>
      <c r="B176" s="72">
        <f>VLOOKUP(A176,Hulpblad!$A$88:$P$349,16,FALSE)</f>
        <v>111.361</v>
      </c>
    </row>
    <row r="177" spans="1:2" x14ac:dyDescent="0.2">
      <c r="A177" s="10" t="s">
        <v>376</v>
      </c>
      <c r="B177" s="72">
        <f>VLOOKUP(A177,Hulpblad!$A$88:$P$349,16,FALSE)</f>
        <v>127.779</v>
      </c>
    </row>
    <row r="178" spans="1:2" x14ac:dyDescent="0.2">
      <c r="A178" s="10" t="s">
        <v>305</v>
      </c>
      <c r="B178" s="72">
        <f>VLOOKUP(A178,Hulpblad!$A$88:$P$349,16,FALSE)</f>
        <v>59.179000000000002</v>
      </c>
    </row>
    <row r="179" spans="1:2" x14ac:dyDescent="0.2">
      <c r="A179" s="10" t="s">
        <v>377</v>
      </c>
      <c r="B179" s="72">
        <f>VLOOKUP(A179,Hulpblad!$A$88:$P$349,16,FALSE)</f>
        <v>54.432000000000002</v>
      </c>
    </row>
    <row r="180" spans="1:2" x14ac:dyDescent="0.2">
      <c r="A180" s="10" t="s">
        <v>378</v>
      </c>
      <c r="B180" s="72">
        <f>VLOOKUP(A180,Hulpblad!$A$88:$P$349,16,FALSE)</f>
        <v>46.734999999999999</v>
      </c>
    </row>
    <row r="181" spans="1:2" x14ac:dyDescent="0.2">
      <c r="A181" s="10" t="s">
        <v>379</v>
      </c>
      <c r="B181" s="72">
        <f>VLOOKUP(A181,Hulpblad!$A$88:$P$349,16,FALSE)</f>
        <v>190.905</v>
      </c>
    </row>
    <row r="182" spans="1:2" x14ac:dyDescent="0.2">
      <c r="A182" s="10" t="s">
        <v>380</v>
      </c>
      <c r="B182" s="72">
        <f>VLOOKUP(A182,Hulpblad!$A$88:$P$349,16,FALSE)</f>
        <v>147.54900000000001</v>
      </c>
    </row>
    <row r="183" spans="1:2" x14ac:dyDescent="0.2">
      <c r="A183" s="10" t="s">
        <v>381</v>
      </c>
      <c r="B183" s="72">
        <f>VLOOKUP(A183,Hulpblad!$A$88:$P$349,16,FALSE)</f>
        <v>247.53399999999999</v>
      </c>
    </row>
    <row r="184" spans="1:2" x14ac:dyDescent="0.2">
      <c r="A184" s="10" t="s">
        <v>312</v>
      </c>
      <c r="B184" s="72">
        <f>VLOOKUP(A184,Hulpblad!$A$88:$P$349,16,FALSE)</f>
        <v>117.25700000000001</v>
      </c>
    </row>
    <row r="185" spans="1:2" x14ac:dyDescent="0.2">
      <c r="A185" s="10" t="s">
        <v>382</v>
      </c>
      <c r="B185" s="72">
        <f>VLOOKUP(A185,Hulpblad!$A$88:$P$349,16,FALSE)</f>
        <v>300</v>
      </c>
    </row>
    <row r="186" spans="1:2" x14ac:dyDescent="0.2">
      <c r="A186" s="10" t="s">
        <v>90</v>
      </c>
      <c r="B186" s="72">
        <f>VLOOKUP(A186,Hulpblad!$A$88:$P$349,16,FALSE)</f>
        <v>55.881</v>
      </c>
    </row>
    <row r="187" spans="1:2" x14ac:dyDescent="0.2">
      <c r="A187" s="10" t="s">
        <v>165</v>
      </c>
      <c r="B187" s="72">
        <f>VLOOKUP(A187,Hulpblad!$A$88:$P$349,16,FALSE)</f>
        <v>173.49700000000001</v>
      </c>
    </row>
    <row r="188" spans="1:2" x14ac:dyDescent="0.2">
      <c r="A188" s="10" t="s">
        <v>91</v>
      </c>
      <c r="B188" s="72">
        <f>VLOOKUP(A188,Hulpblad!$A$88:$P$349,16,FALSE)</f>
        <v>382.65</v>
      </c>
    </row>
    <row r="189" spans="1:2" x14ac:dyDescent="0.2">
      <c r="A189" s="10" t="s">
        <v>316</v>
      </c>
      <c r="B189" s="72">
        <f>VLOOKUP(A189,Hulpblad!$A$88:$P$349,16,FALSE)</f>
        <v>4.5229999999999997</v>
      </c>
    </row>
    <row r="190" spans="1:2" x14ac:dyDescent="0.2">
      <c r="A190" s="10" t="s">
        <v>317</v>
      </c>
      <c r="B190" s="72">
        <f>VLOOKUP(A190,Hulpblad!$A$88:$P$349,16,FALSE)</f>
        <v>109.045</v>
      </c>
    </row>
    <row r="191" spans="1:2" x14ac:dyDescent="0.2">
      <c r="A191" s="10" t="s">
        <v>318</v>
      </c>
      <c r="B191" s="72">
        <f>VLOOKUP(A191,Hulpblad!$A$88:$P$349,16,FALSE)</f>
        <v>293.97000000000003</v>
      </c>
    </row>
    <row r="192" spans="1:2" x14ac:dyDescent="0.2">
      <c r="A192" s="10" t="s">
        <v>319</v>
      </c>
      <c r="B192" s="72">
        <f>VLOOKUP(A192,Hulpblad!$A$88:$P$349,16,FALSE)</f>
        <v>89.409000000000006</v>
      </c>
    </row>
    <row r="193" spans="1:2" x14ac:dyDescent="0.2">
      <c r="A193" s="10" t="s">
        <v>320</v>
      </c>
      <c r="B193" s="72">
        <f>VLOOKUP(A193,Hulpblad!$A$88:$P$349,16,FALSE)</f>
        <v>227.249</v>
      </c>
    </row>
    <row r="194" spans="1:2" x14ac:dyDescent="0.2">
      <c r="A194" s="10" t="s">
        <v>321</v>
      </c>
      <c r="B194" s="72">
        <f>VLOOKUP(A194,Hulpblad!$A$88:$P$349,16,FALSE)</f>
        <v>400.21300000000002</v>
      </c>
    </row>
    <row r="195" spans="1:2" x14ac:dyDescent="0.2">
      <c r="A195" s="10" t="s">
        <v>322</v>
      </c>
      <c r="B195" s="72">
        <f>VLOOKUP(A195,Hulpblad!$A$88:$P$349,16,FALSE)</f>
        <v>248.55500000000001</v>
      </c>
    </row>
    <row r="196" spans="1:2" x14ac:dyDescent="0.2">
      <c r="A196" s="10" t="s">
        <v>323</v>
      </c>
      <c r="B196" s="72">
        <f>VLOOKUP(A196,Hulpblad!$A$88:$P$349,16,FALSE)</f>
        <v>-67.555999999999997</v>
      </c>
    </row>
    <row r="197" spans="1:2" x14ac:dyDescent="0.2">
      <c r="A197" s="10" t="s">
        <v>166</v>
      </c>
      <c r="B197" s="72">
        <f>VLOOKUP(A197,Hulpblad!$A$88:$P$349,16,FALSE)</f>
        <v>-27.58</v>
      </c>
    </row>
    <row r="198" spans="1:2" x14ac:dyDescent="0.2">
      <c r="A198" s="10" t="s">
        <v>72</v>
      </c>
      <c r="B198" s="72">
        <f>VLOOKUP(A198,Hulpblad!$A$88:$P$349,16,FALSE)</f>
        <v>13.351000000000001</v>
      </c>
    </row>
    <row r="199" spans="1:2" x14ac:dyDescent="0.2">
      <c r="A199" s="10" t="s">
        <v>73</v>
      </c>
      <c r="B199" s="72">
        <f>VLOOKUP(A199,Hulpblad!$A$88:$P$349,16,FALSE)</f>
        <v>54.787999999999997</v>
      </c>
    </row>
    <row r="200" spans="1:2" x14ac:dyDescent="0.2">
      <c r="A200" s="10" t="s">
        <v>167</v>
      </c>
      <c r="B200" s="72">
        <f>VLOOKUP(A200,Hulpblad!$A$88:$P$349,16,FALSE)</f>
        <v>95.364999999999995</v>
      </c>
    </row>
    <row r="201" spans="1:2" x14ac:dyDescent="0.2">
      <c r="A201" s="10" t="s">
        <v>142</v>
      </c>
      <c r="B201" s="72">
        <f>VLOOKUP(A201,Hulpblad!$A$88:$P$349,16,FALSE)</f>
        <v>239.61699999999999</v>
      </c>
    </row>
    <row r="202" spans="1:2" x14ac:dyDescent="0.2">
      <c r="A202" s="10" t="s">
        <v>92</v>
      </c>
      <c r="B202" s="72">
        <f>VLOOKUP(A202,Hulpblad!$A$88:$P$349,16,FALSE)</f>
        <v>286.62799999999999</v>
      </c>
    </row>
    <row r="203" spans="1:2" x14ac:dyDescent="0.2">
      <c r="A203" s="10" t="s">
        <v>93</v>
      </c>
      <c r="B203" s="72">
        <f>VLOOKUP(A203,Hulpblad!$A$88:$P$349,16,FALSE)</f>
        <v>336</v>
      </c>
    </row>
    <row r="204" spans="1:2" x14ac:dyDescent="0.2">
      <c r="A204" s="10" t="s">
        <v>94</v>
      </c>
      <c r="B204" s="72">
        <f>VLOOKUP(A204,Hulpblad!$A$88:$P$349,16,FALSE)</f>
        <v>384.20499999999998</v>
      </c>
    </row>
    <row r="205" spans="1:2" x14ac:dyDescent="0.2">
      <c r="A205" s="10" t="s">
        <v>95</v>
      </c>
      <c r="B205" s="72">
        <f>VLOOKUP(A205,Hulpblad!$A$88:$P$349,16,FALSE)</f>
        <v>400.10700000000003</v>
      </c>
    </row>
    <row r="206" spans="1:2" x14ac:dyDescent="0.2">
      <c r="A206" s="10" t="s">
        <v>383</v>
      </c>
      <c r="B206" s="72">
        <f>VLOOKUP(A206,Hulpblad!$A$88:$P$349,16,FALSE)</f>
        <v>396.173</v>
      </c>
    </row>
    <row r="207" spans="1:2" x14ac:dyDescent="0.2">
      <c r="A207" s="10" t="s">
        <v>168</v>
      </c>
      <c r="B207" s="72">
        <f>VLOOKUP(A207,Hulpblad!$A$88:$P$349,16,FALSE)</f>
        <v>130.22200000000001</v>
      </c>
    </row>
    <row r="208" spans="1:2" x14ac:dyDescent="0.2">
      <c r="A208" s="10" t="s">
        <v>169</v>
      </c>
      <c r="B208" s="72">
        <f>VLOOKUP(A208,Hulpblad!$A$88:$P$349,16,FALSE)</f>
        <v>61.777999999999999</v>
      </c>
    </row>
    <row r="209" spans="1:2" x14ac:dyDescent="0.2">
      <c r="A209" s="10" t="s">
        <v>170</v>
      </c>
      <c r="B209" s="72">
        <f>VLOOKUP(A209,Hulpblad!$A$88:$P$349,16,FALSE)</f>
        <v>233.77799999999999</v>
      </c>
    </row>
    <row r="210" spans="1:2" x14ac:dyDescent="0.2">
      <c r="A210" s="10" t="s">
        <v>171</v>
      </c>
      <c r="B210" s="72">
        <f>VLOOKUP(A210,Hulpblad!$A$88:$P$349,16,FALSE)</f>
        <v>113.333</v>
      </c>
    </row>
    <row r="211" spans="1:2" x14ac:dyDescent="0.2">
      <c r="A211" s="10" t="s">
        <v>172</v>
      </c>
      <c r="B211" s="72">
        <f>VLOOKUP(A211,Hulpblad!$A$88:$P$349,16,FALSE)</f>
        <v>44.889000000000003</v>
      </c>
    </row>
    <row r="212" spans="1:2" x14ac:dyDescent="0.2">
      <c r="A212" s="10" t="s">
        <v>143</v>
      </c>
      <c r="B212" s="72">
        <f>VLOOKUP(A212,Hulpblad!$A$88:$P$349,16,FALSE)</f>
        <v>400</v>
      </c>
    </row>
    <row r="213" spans="1:2" x14ac:dyDescent="0.2">
      <c r="A213" s="10" t="s">
        <v>144</v>
      </c>
      <c r="B213" s="72">
        <f>VLOOKUP(A213,Hulpblad!$A$88:$P$349,16,FALSE)</f>
        <v>400</v>
      </c>
    </row>
    <row r="214" spans="1:2" x14ac:dyDescent="0.2">
      <c r="A214" s="10" t="s">
        <v>173</v>
      </c>
      <c r="B214" s="72">
        <f>VLOOKUP(A214,Hulpblad!$A$88:$P$349,16,FALSE)</f>
        <v>101.801</v>
      </c>
    </row>
    <row r="215" spans="1:2" x14ac:dyDescent="0.2">
      <c r="A215" s="10" t="s">
        <v>96</v>
      </c>
      <c r="B215" s="72">
        <f>VLOOKUP(A215,Hulpblad!$A$88:$P$349,16,FALSE)</f>
        <v>43.32</v>
      </c>
    </row>
    <row r="216" spans="1:2" x14ac:dyDescent="0.2">
      <c r="A216" s="10" t="s">
        <v>75</v>
      </c>
      <c r="B216" s="72">
        <f>VLOOKUP(A216,Hulpblad!$A$88:$P$349,16,FALSE)</f>
        <v>110.36499999999999</v>
      </c>
    </row>
  </sheetData>
  <pageMargins left="0.7" right="0.7" top="0.75" bottom="0.75" header="0.3" footer="0.3"/>
  <pageSetup paperSize="9" orientation="portrait" r:id="rId1"/>
  <headerFooter>
    <oddFooter>&amp;L_x000D_&amp;1#&amp;"Aptos"&amp;10&amp;K000000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A74-0EB9-41CD-9079-59A3D07AF761}">
  <dimension ref="A1:R222"/>
  <sheetViews>
    <sheetView tabSelected="1" workbookViewId="0"/>
  </sheetViews>
  <sheetFormatPr defaultColWidth="0" defaultRowHeight="12.75" zeroHeight="1" x14ac:dyDescent="0.2"/>
  <cols>
    <col min="1" max="1" width="212.7109375" style="10" bestFit="1" customWidth="1"/>
    <col min="2" max="2" width="40.7109375" style="74" bestFit="1" customWidth="1"/>
    <col min="3" max="3" width="25.7109375" style="10" customWidth="1"/>
    <col min="4" max="18" width="25.7109375" style="10" hidden="1" customWidth="1"/>
    <col min="19" max="16384" width="0" style="10" hidden="1"/>
  </cols>
  <sheetData>
    <row r="1" spans="1:2" ht="54" x14ac:dyDescent="0.2">
      <c r="A1" s="142" t="s">
        <v>1</v>
      </c>
      <c r="B1" s="73" t="s">
        <v>62</v>
      </c>
    </row>
    <row r="2" spans="1:2" ht="30" customHeight="1" x14ac:dyDescent="0.2">
      <c r="A2" s="71" t="s">
        <v>77</v>
      </c>
      <c r="B2" s="73"/>
    </row>
    <row r="3" spans="1:2" x14ac:dyDescent="0.2">
      <c r="A3" s="10" t="s">
        <v>323</v>
      </c>
      <c r="B3" s="72">
        <f>VLOOKUP(A3,Hulpblad!$A$88:$P$349,16,FALSE)</f>
        <v>-67.555999999999997</v>
      </c>
    </row>
    <row r="4" spans="1:2" x14ac:dyDescent="0.2">
      <c r="A4" s="10" t="s">
        <v>220</v>
      </c>
      <c r="B4" s="72">
        <f>VLOOKUP(A4,Hulpblad!$A$88:$P$349,16,FALSE)</f>
        <v>-48.889000000000003</v>
      </c>
    </row>
    <row r="5" spans="1:2" x14ac:dyDescent="0.2">
      <c r="A5" s="10" t="s">
        <v>136</v>
      </c>
      <c r="B5" s="72">
        <f>VLOOKUP(A5,Hulpblad!$A$88:$P$349,16,FALSE)</f>
        <v>-41.332999999999998</v>
      </c>
    </row>
    <row r="6" spans="1:2" x14ac:dyDescent="0.2">
      <c r="A6" s="10" t="s">
        <v>166</v>
      </c>
      <c r="B6" s="72">
        <f>VLOOKUP(A6,Hulpblad!$A$88:$P$349,16,FALSE)</f>
        <v>-27.58</v>
      </c>
    </row>
    <row r="7" spans="1:2" x14ac:dyDescent="0.2">
      <c r="A7" s="10" t="s">
        <v>316</v>
      </c>
      <c r="B7" s="72">
        <f>VLOOKUP(A7,Hulpblad!$A$88:$P$349,16,FALSE)</f>
        <v>4.5229999999999997</v>
      </c>
    </row>
    <row r="8" spans="1:2" x14ac:dyDescent="0.2">
      <c r="A8" s="10" t="s">
        <v>369</v>
      </c>
      <c r="B8" s="72">
        <f>VLOOKUP(A8,Hulpblad!$A$88:$P$349,16,FALSE)</f>
        <v>4.9329999999999998</v>
      </c>
    </row>
    <row r="9" spans="1:2" x14ac:dyDescent="0.2">
      <c r="A9" s="10" t="s">
        <v>344</v>
      </c>
      <c r="B9" s="72">
        <f>VLOOKUP(A9,Hulpblad!$A$88:$P$349,16,FALSE)</f>
        <v>11.281000000000001</v>
      </c>
    </row>
    <row r="10" spans="1:2" x14ac:dyDescent="0.2">
      <c r="A10" s="10" t="s">
        <v>72</v>
      </c>
      <c r="B10" s="72">
        <f>VLOOKUP(A10,Hulpblad!$A$88:$P$349,16,FALSE)</f>
        <v>13.351000000000001</v>
      </c>
    </row>
    <row r="11" spans="1:2" x14ac:dyDescent="0.2">
      <c r="A11" s="10" t="s">
        <v>345</v>
      </c>
      <c r="B11" s="72">
        <f>VLOOKUP(A11,Hulpblad!$A$88:$P$349,16,FALSE)</f>
        <v>15.053000000000001</v>
      </c>
    </row>
    <row r="12" spans="1:2" x14ac:dyDescent="0.2">
      <c r="A12" s="10" t="s">
        <v>348</v>
      </c>
      <c r="B12" s="72">
        <f>VLOOKUP(A12,Hulpblad!$A$88:$P$349,16,FALSE)</f>
        <v>15.867000000000001</v>
      </c>
    </row>
    <row r="13" spans="1:2" x14ac:dyDescent="0.2">
      <c r="A13" s="67" t="s">
        <v>211</v>
      </c>
      <c r="B13" s="72">
        <f>VLOOKUP(A13,Hulpblad!$A$88:$P$349,16,FALSE)</f>
        <v>17.483000000000001</v>
      </c>
    </row>
    <row r="14" spans="1:2" x14ac:dyDescent="0.2">
      <c r="A14" s="10" t="s">
        <v>349</v>
      </c>
      <c r="B14" s="72">
        <f>VLOOKUP(A14,Hulpblad!$A$88:$P$349,16,FALSE)</f>
        <v>20.678999999999998</v>
      </c>
    </row>
    <row r="15" spans="1:2" x14ac:dyDescent="0.2">
      <c r="A15" s="10" t="s">
        <v>370</v>
      </c>
      <c r="B15" s="72">
        <f>VLOOKUP(A15,Hulpblad!$A$88:$P$349,16,FALSE)</f>
        <v>22.009</v>
      </c>
    </row>
    <row r="16" spans="1:2" x14ac:dyDescent="0.2">
      <c r="A16" s="10" t="s">
        <v>19</v>
      </c>
      <c r="B16" s="72">
        <f>VLOOKUP(A16,Hulpblad!$A$88:$P$349,16,FALSE)</f>
        <v>38.076000000000001</v>
      </c>
    </row>
    <row r="17" spans="1:2" x14ac:dyDescent="0.2">
      <c r="A17" s="10" t="s">
        <v>96</v>
      </c>
      <c r="B17" s="72">
        <f>VLOOKUP(A17,Hulpblad!$A$88:$P$349,16,FALSE)</f>
        <v>43.32</v>
      </c>
    </row>
    <row r="18" spans="1:2" x14ac:dyDescent="0.2">
      <c r="A18" s="10" t="s">
        <v>172</v>
      </c>
      <c r="B18" s="72">
        <f>VLOOKUP(A18,Hulpblad!$A$88:$P$349,16,FALSE)</f>
        <v>44.889000000000003</v>
      </c>
    </row>
    <row r="19" spans="1:2" x14ac:dyDescent="0.2">
      <c r="A19" s="10" t="s">
        <v>347</v>
      </c>
      <c r="B19" s="72">
        <f>VLOOKUP(A19,Hulpblad!$A$88:$P$349,16,FALSE)</f>
        <v>45.686999999999998</v>
      </c>
    </row>
    <row r="20" spans="1:2" x14ac:dyDescent="0.2">
      <c r="A20" s="10" t="s">
        <v>346</v>
      </c>
      <c r="B20" s="72">
        <f>VLOOKUP(A20,Hulpblad!$A$88:$P$349,16,FALSE)</f>
        <v>46.685000000000002</v>
      </c>
    </row>
    <row r="21" spans="1:2" x14ac:dyDescent="0.2">
      <c r="A21" s="10" t="s">
        <v>378</v>
      </c>
      <c r="B21" s="72">
        <f>VLOOKUP(A21,Hulpblad!$A$88:$P$349,16,FALSE)</f>
        <v>46.734999999999999</v>
      </c>
    </row>
    <row r="22" spans="1:2" x14ac:dyDescent="0.2">
      <c r="A22" s="10" t="s">
        <v>156</v>
      </c>
      <c r="B22" s="72">
        <f>VLOOKUP(A22,Hulpblad!$A$88:$P$349,16,FALSE)</f>
        <v>52.393999999999998</v>
      </c>
    </row>
    <row r="23" spans="1:2" x14ac:dyDescent="0.2">
      <c r="A23" s="10" t="s">
        <v>377</v>
      </c>
      <c r="B23" s="72">
        <f>VLOOKUP(A23,Hulpblad!$A$88:$P$349,16,FALSE)</f>
        <v>54.432000000000002</v>
      </c>
    </row>
    <row r="24" spans="1:2" x14ac:dyDescent="0.2">
      <c r="A24" s="10" t="s">
        <v>73</v>
      </c>
      <c r="B24" s="72">
        <f>VLOOKUP(A24,Hulpblad!$A$88:$P$349,16,FALSE)</f>
        <v>54.787999999999997</v>
      </c>
    </row>
    <row r="25" spans="1:2" x14ac:dyDescent="0.2">
      <c r="A25" s="10" t="s">
        <v>90</v>
      </c>
      <c r="B25" s="72">
        <f>VLOOKUP(A25,Hulpblad!$A$88:$P$349,16,FALSE)</f>
        <v>55.881</v>
      </c>
    </row>
    <row r="26" spans="1:2" x14ac:dyDescent="0.2">
      <c r="A26" s="10" t="s">
        <v>305</v>
      </c>
      <c r="B26" s="72">
        <f>VLOOKUP(A26,Hulpblad!$A$88:$P$349,16,FALSE)</f>
        <v>59.179000000000002</v>
      </c>
    </row>
    <row r="27" spans="1:2" x14ac:dyDescent="0.2">
      <c r="A27" s="66" t="s">
        <v>141</v>
      </c>
      <c r="B27" s="72">
        <f>VLOOKUP(A27,Hulpblad!$A$88:$P$349,16,FALSE)</f>
        <v>61.500999999999998</v>
      </c>
    </row>
    <row r="28" spans="1:2" x14ac:dyDescent="0.2">
      <c r="A28" s="10" t="s">
        <v>169</v>
      </c>
      <c r="B28" s="72">
        <f>VLOOKUP(A28,Hulpblad!$A$88:$P$349,16,FALSE)</f>
        <v>61.777999999999999</v>
      </c>
    </row>
    <row r="29" spans="1:2" x14ac:dyDescent="0.2">
      <c r="A29" s="66" t="s">
        <v>204</v>
      </c>
      <c r="B29" s="72">
        <f>VLOOKUP(A29,Hulpblad!$A$88:$P$349,16,FALSE)</f>
        <v>62.642000000000003</v>
      </c>
    </row>
    <row r="30" spans="1:2" x14ac:dyDescent="0.2">
      <c r="A30" s="10" t="s">
        <v>395</v>
      </c>
      <c r="B30" s="72">
        <f>VLOOKUP(A30,Hulpblad!$A$88:$P$349,16,FALSE)</f>
        <v>71.12</v>
      </c>
    </row>
    <row r="31" spans="1:2" x14ac:dyDescent="0.2">
      <c r="A31" s="10" t="s">
        <v>373</v>
      </c>
      <c r="B31" s="72">
        <f>VLOOKUP(A31,Hulpblad!$A$88:$P$349,16,FALSE)</f>
        <v>72.171999999999997</v>
      </c>
    </row>
    <row r="32" spans="1:2" x14ac:dyDescent="0.2">
      <c r="A32" s="10" t="s">
        <v>355</v>
      </c>
      <c r="B32" s="72">
        <f>VLOOKUP(A32,Hulpblad!$A$88:$P$349,16,FALSE)</f>
        <v>72.233000000000004</v>
      </c>
    </row>
    <row r="33" spans="1:2" x14ac:dyDescent="0.2">
      <c r="A33" s="67" t="s">
        <v>97</v>
      </c>
      <c r="B33" s="72">
        <f>VLOOKUP(A33,Hulpblad!$A$88:$P$349,16,FALSE)</f>
        <v>72.557000000000002</v>
      </c>
    </row>
    <row r="34" spans="1:2" x14ac:dyDescent="0.2">
      <c r="A34" s="10" t="s">
        <v>98</v>
      </c>
      <c r="B34" s="72">
        <f>VLOOKUP(A34,Hulpblad!$A$88:$P$349,16,FALSE)</f>
        <v>72.557000000000002</v>
      </c>
    </row>
    <row r="35" spans="1:2" ht="30" customHeight="1" x14ac:dyDescent="0.2">
      <c r="A35" s="71" t="s">
        <v>78</v>
      </c>
      <c r="B35" s="72"/>
    </row>
    <row r="36" spans="1:2" ht="12.75" customHeight="1" x14ac:dyDescent="0.2">
      <c r="A36" s="10" t="s">
        <v>397</v>
      </c>
      <c r="B36" s="72">
        <f>VLOOKUP(A36,Hulpblad!$A$88:$P$349,16,FALSE)</f>
        <v>76.370999999999995</v>
      </c>
    </row>
    <row r="37" spans="1:2" ht="12.75" customHeight="1" x14ac:dyDescent="0.2">
      <c r="A37" s="10" t="s">
        <v>354</v>
      </c>
      <c r="B37" s="72">
        <f>VLOOKUP(A37,Hulpblad!$A$88:$P$349,16,FALSE)</f>
        <v>82.283000000000001</v>
      </c>
    </row>
    <row r="38" spans="1:2" x14ac:dyDescent="0.2">
      <c r="A38" s="66" t="s">
        <v>84</v>
      </c>
      <c r="B38" s="72">
        <f>VLOOKUP(A38,Hulpblad!$A$88:$P$349,16,FALSE)</f>
        <v>88.007000000000005</v>
      </c>
    </row>
    <row r="39" spans="1:2" x14ac:dyDescent="0.2">
      <c r="A39" s="67" t="s">
        <v>87</v>
      </c>
      <c r="B39" s="72">
        <f>VLOOKUP(A39,Hulpblad!$A$88:$P$349,16,FALSE)</f>
        <v>88.007000000000005</v>
      </c>
    </row>
    <row r="40" spans="1:2" x14ac:dyDescent="0.2">
      <c r="A40" s="10" t="s">
        <v>343</v>
      </c>
      <c r="B40" s="72">
        <f>VLOOKUP(A40,Hulpblad!$A$88:$P$349,16,FALSE)</f>
        <v>88.494</v>
      </c>
    </row>
    <row r="41" spans="1:2" x14ac:dyDescent="0.2">
      <c r="A41" s="66" t="s">
        <v>206</v>
      </c>
      <c r="B41" s="72">
        <f>VLOOKUP(A41,Hulpblad!$A$88:$P$349,16,FALSE)</f>
        <v>88.665999999999997</v>
      </c>
    </row>
    <row r="42" spans="1:2" x14ac:dyDescent="0.2">
      <c r="A42" s="10" t="s">
        <v>319</v>
      </c>
      <c r="B42" s="72">
        <f>VLOOKUP(A42,Hulpblad!$A$88:$P$349,16,FALSE)</f>
        <v>89.409000000000006</v>
      </c>
    </row>
    <row r="43" spans="1:2" x14ac:dyDescent="0.2">
      <c r="A43" s="10" t="s">
        <v>374</v>
      </c>
      <c r="B43" s="72">
        <f>VLOOKUP(A43,Hulpblad!$A$88:$P$349,16,FALSE)</f>
        <v>90.734999999999999</v>
      </c>
    </row>
    <row r="44" spans="1:2" x14ac:dyDescent="0.2">
      <c r="A44" s="10" t="s">
        <v>103</v>
      </c>
      <c r="B44" s="72">
        <f>VLOOKUP(A44,Hulpblad!$A$88:$P$349,16,FALSE)</f>
        <v>92.552999999999997</v>
      </c>
    </row>
    <row r="45" spans="1:2" x14ac:dyDescent="0.2">
      <c r="A45" s="10" t="s">
        <v>137</v>
      </c>
      <c r="B45" s="72">
        <f>VLOOKUP(A45,Hulpblad!$A$88:$P$349,16,FALSE)</f>
        <v>93.778000000000006</v>
      </c>
    </row>
    <row r="46" spans="1:2" ht="12.75" customHeight="1" x14ac:dyDescent="0.2">
      <c r="A46" s="10" t="s">
        <v>167</v>
      </c>
      <c r="B46" s="72">
        <f>VLOOKUP(A46,Hulpblad!$A$88:$P$349,16,FALSE)</f>
        <v>95.364999999999995</v>
      </c>
    </row>
    <row r="47" spans="1:2" x14ac:dyDescent="0.2">
      <c r="A47" s="10" t="s">
        <v>209</v>
      </c>
      <c r="B47" s="72">
        <f>VLOOKUP(A47,Hulpblad!$A$88:$P$349,16,FALSE)</f>
        <v>97.683000000000007</v>
      </c>
    </row>
    <row r="48" spans="1:2" x14ac:dyDescent="0.2">
      <c r="A48" s="10" t="s">
        <v>396</v>
      </c>
      <c r="B48" s="72">
        <f>VLOOKUP(A48,Hulpblad!$A$88:$P$349,16,FALSE)</f>
        <v>101.754</v>
      </c>
    </row>
    <row r="49" spans="1:2" x14ac:dyDescent="0.2">
      <c r="A49" s="10" t="s">
        <v>173</v>
      </c>
      <c r="B49" s="72">
        <f>VLOOKUP(A49,Hulpblad!$A$88:$P$349,16,FALSE)</f>
        <v>101.801</v>
      </c>
    </row>
    <row r="50" spans="1:2" x14ac:dyDescent="0.2">
      <c r="A50" s="10" t="s">
        <v>104</v>
      </c>
      <c r="B50" s="72">
        <f>VLOOKUP(A50,Hulpblad!$A$88:$P$349,16,FALSE)</f>
        <v>104.71599999999999</v>
      </c>
    </row>
    <row r="51" spans="1:2" x14ac:dyDescent="0.2">
      <c r="A51" s="67" t="s">
        <v>3</v>
      </c>
      <c r="B51" s="72">
        <f>VLOOKUP(A51,Hulpblad!$A$88:$P$349,16,FALSE)</f>
        <v>105.691</v>
      </c>
    </row>
    <row r="52" spans="1:2" x14ac:dyDescent="0.2">
      <c r="A52" s="10" t="s">
        <v>353</v>
      </c>
      <c r="B52" s="72">
        <f>VLOOKUP(A52,Hulpblad!$A$88:$P$349,16,FALSE)</f>
        <v>105.76300000000001</v>
      </c>
    </row>
    <row r="53" spans="1:2" x14ac:dyDescent="0.2">
      <c r="A53" s="10" t="s">
        <v>371</v>
      </c>
      <c r="B53" s="72">
        <f>VLOOKUP(A53,Hulpblad!$A$88:$P$349,16,FALSE)</f>
        <v>107.18300000000001</v>
      </c>
    </row>
    <row r="54" spans="1:2" x14ac:dyDescent="0.2">
      <c r="A54" s="10" t="s">
        <v>317</v>
      </c>
      <c r="B54" s="72">
        <f>VLOOKUP(A54,Hulpblad!$A$88:$P$349,16,FALSE)</f>
        <v>109.045</v>
      </c>
    </row>
    <row r="55" spans="1:2" x14ac:dyDescent="0.2">
      <c r="A55" s="10" t="s">
        <v>352</v>
      </c>
      <c r="B55" s="72">
        <f>VLOOKUP(A55,Hulpblad!$A$88:$P$349,16,FALSE)</f>
        <v>110.05500000000001</v>
      </c>
    </row>
    <row r="56" spans="1:2" x14ac:dyDescent="0.2">
      <c r="A56" s="10" t="s">
        <v>128</v>
      </c>
      <c r="B56" s="72">
        <f>VLOOKUP(A56,Hulpblad!$A$88:$P$349,16,FALSE)</f>
        <v>110.31</v>
      </c>
    </row>
    <row r="57" spans="1:2" x14ac:dyDescent="0.2">
      <c r="A57" s="10" t="s">
        <v>75</v>
      </c>
      <c r="B57" s="72">
        <f>VLOOKUP(A57,Hulpblad!$A$88:$P$349,16,FALSE)</f>
        <v>110.36499999999999</v>
      </c>
    </row>
    <row r="58" spans="1:2" x14ac:dyDescent="0.2">
      <c r="A58" s="66" t="s">
        <v>232</v>
      </c>
      <c r="B58" s="72">
        <f>VLOOKUP(A58,Hulpblad!$A$88:$P$349,16,FALSE)</f>
        <v>110.633</v>
      </c>
    </row>
    <row r="59" spans="1:2" x14ac:dyDescent="0.2">
      <c r="A59" s="10" t="s">
        <v>375</v>
      </c>
      <c r="B59" s="72">
        <f>VLOOKUP(A59,Hulpblad!$A$88:$P$349,16,FALSE)</f>
        <v>111.361</v>
      </c>
    </row>
    <row r="60" spans="1:2" x14ac:dyDescent="0.2">
      <c r="A60" s="67" t="s">
        <v>83</v>
      </c>
      <c r="B60" s="72">
        <f>VLOOKUP(A60,Hulpblad!$A$88:$P$349,16,FALSE)</f>
        <v>112.36199999999999</v>
      </c>
    </row>
    <row r="61" spans="1:2" x14ac:dyDescent="0.2">
      <c r="A61" s="10" t="s">
        <v>86</v>
      </c>
      <c r="B61" s="72">
        <f>VLOOKUP(A61,Hulpblad!$A$88:$P$349,16,FALSE)</f>
        <v>112.36199999999999</v>
      </c>
    </row>
    <row r="62" spans="1:2" x14ac:dyDescent="0.2">
      <c r="A62" s="10" t="s">
        <v>171</v>
      </c>
      <c r="B62" s="72">
        <f>VLOOKUP(A62,Hulpblad!$A$88:$P$349,16,FALSE)</f>
        <v>113.333</v>
      </c>
    </row>
    <row r="63" spans="1:2" x14ac:dyDescent="0.2">
      <c r="A63" s="10" t="s">
        <v>158</v>
      </c>
      <c r="B63" s="72">
        <f>VLOOKUP(A63,Hulpblad!$A$88:$P$349,16,FALSE)</f>
        <v>113.821</v>
      </c>
    </row>
    <row r="64" spans="1:2" x14ac:dyDescent="0.2">
      <c r="A64" s="10" t="s">
        <v>312</v>
      </c>
      <c r="B64" s="72">
        <f>VLOOKUP(A64,Hulpblad!$A$88:$P$349,16,FALSE)</f>
        <v>117.25700000000001</v>
      </c>
    </row>
    <row r="65" spans="1:2" x14ac:dyDescent="0.2">
      <c r="A65" s="10" t="s">
        <v>372</v>
      </c>
      <c r="B65" s="72">
        <f>VLOOKUP(A65,Hulpblad!$A$88:$P$349,16,FALSE)</f>
        <v>126.14400000000001</v>
      </c>
    </row>
    <row r="66" spans="1:2" x14ac:dyDescent="0.2">
      <c r="A66" s="10" t="s">
        <v>210</v>
      </c>
      <c r="B66" s="72">
        <f>VLOOKUP(A66,Hulpblad!$A$88:$P$349,16,FALSE)</f>
        <v>127.74</v>
      </c>
    </row>
    <row r="67" spans="1:2" x14ac:dyDescent="0.2">
      <c r="A67" s="10" t="s">
        <v>376</v>
      </c>
      <c r="B67" s="72">
        <f>VLOOKUP(A67,Hulpblad!$A$88:$P$349,16,FALSE)</f>
        <v>127.779</v>
      </c>
    </row>
    <row r="68" spans="1:2" x14ac:dyDescent="0.2">
      <c r="A68" s="10" t="s">
        <v>168</v>
      </c>
      <c r="B68" s="72">
        <f>VLOOKUP(A68,Hulpblad!$A$88:$P$349,16,FALSE)</f>
        <v>130.22200000000001</v>
      </c>
    </row>
    <row r="69" spans="1:2" ht="12.75" customHeight="1" x14ac:dyDescent="0.2">
      <c r="A69" s="10" t="s">
        <v>7</v>
      </c>
      <c r="B69" s="72">
        <f>VLOOKUP(A69,Hulpblad!$A$88:$P$349,16,FALSE)</f>
        <v>131.55600000000001</v>
      </c>
    </row>
    <row r="70" spans="1:2" x14ac:dyDescent="0.2">
      <c r="A70" s="10" t="s">
        <v>401</v>
      </c>
      <c r="B70" s="72">
        <f>VLOOKUP(A70,Hulpblad!$A$88:$P$349,16,FALSE)</f>
        <v>132.62299999999999</v>
      </c>
    </row>
    <row r="71" spans="1:2" x14ac:dyDescent="0.2">
      <c r="A71" s="66" t="s">
        <v>233</v>
      </c>
      <c r="B71" s="72">
        <f>VLOOKUP(A71,Hulpblad!$A$88:$P$349,16,FALSE)</f>
        <v>138.28899999999999</v>
      </c>
    </row>
    <row r="72" spans="1:2" x14ac:dyDescent="0.2">
      <c r="A72" s="10" t="s">
        <v>131</v>
      </c>
      <c r="B72" s="72">
        <f>VLOOKUP(A72,Hulpblad!$A$88:$P$349,16,FALSE)</f>
        <v>141.22</v>
      </c>
    </row>
    <row r="73" spans="1:2" x14ac:dyDescent="0.2">
      <c r="A73" s="10" t="s">
        <v>380</v>
      </c>
      <c r="B73" s="72">
        <f>VLOOKUP(A73,Hulpblad!$A$88:$P$349,16,FALSE)</f>
        <v>147.54900000000001</v>
      </c>
    </row>
    <row r="74" spans="1:2" ht="30" customHeight="1" x14ac:dyDescent="0.2">
      <c r="A74" s="71" t="s">
        <v>79</v>
      </c>
      <c r="B74" s="72"/>
    </row>
    <row r="75" spans="1:2" x14ac:dyDescent="0.2">
      <c r="A75" s="10" t="s">
        <v>342</v>
      </c>
      <c r="B75" s="72">
        <f>VLOOKUP(A75,Hulpblad!$A$88:$P$349,16,FALSE)</f>
        <v>151.696</v>
      </c>
    </row>
    <row r="76" spans="1:2" x14ac:dyDescent="0.2">
      <c r="A76" s="10" t="s">
        <v>341</v>
      </c>
      <c r="B76" s="72">
        <f>VLOOKUP(A76,Hulpblad!$A$88:$P$349,16,FALSE)</f>
        <v>156.892</v>
      </c>
    </row>
    <row r="77" spans="1:2" x14ac:dyDescent="0.2">
      <c r="A77" s="10" t="s">
        <v>271</v>
      </c>
      <c r="B77" s="72">
        <f>VLOOKUP(A77,Hulpblad!$A$88:$P$349,16,FALSE)</f>
        <v>160.68899999999999</v>
      </c>
    </row>
    <row r="78" spans="1:2" x14ac:dyDescent="0.2">
      <c r="A78" s="66" t="s">
        <v>4</v>
      </c>
      <c r="B78" s="72">
        <f>VLOOKUP(A78,Hulpblad!$A$88:$P$349,16,FALSE)</f>
        <v>160.79499999999999</v>
      </c>
    </row>
    <row r="79" spans="1:2" ht="12.75" customHeight="1" x14ac:dyDescent="0.2">
      <c r="A79" s="10" t="s">
        <v>359</v>
      </c>
      <c r="B79" s="72">
        <f>VLOOKUP(A79,Hulpblad!$A$88:$P$349,16,FALSE)</f>
        <v>162.386</v>
      </c>
    </row>
    <row r="80" spans="1:2" x14ac:dyDescent="0.2">
      <c r="A80" s="67" t="s">
        <v>157</v>
      </c>
      <c r="B80" s="72">
        <f>VLOOKUP(A80,Hulpblad!$A$88:$P$349,16,FALSE)</f>
        <v>162.602</v>
      </c>
    </row>
    <row r="81" spans="1:2" x14ac:dyDescent="0.2">
      <c r="A81" s="10" t="s">
        <v>134</v>
      </c>
      <c r="B81" s="72">
        <f>VLOOKUP(A81,Hulpblad!$A$88:$P$349,16,FALSE)</f>
        <v>164.42400000000001</v>
      </c>
    </row>
    <row r="82" spans="1:2" x14ac:dyDescent="0.2">
      <c r="A82" s="10" t="s">
        <v>334</v>
      </c>
      <c r="B82" s="72">
        <f>VLOOKUP(A82,Hulpblad!$A$88:$P$349,16,FALSE)</f>
        <v>165.96799999999999</v>
      </c>
    </row>
    <row r="83" spans="1:2" x14ac:dyDescent="0.2">
      <c r="A83" s="10" t="s">
        <v>363</v>
      </c>
      <c r="B83" s="72">
        <f>VLOOKUP(A83,Hulpblad!$A$88:$P$349,16,FALSE)</f>
        <v>165.96799999999999</v>
      </c>
    </row>
    <row r="84" spans="1:2" x14ac:dyDescent="0.2">
      <c r="A84" s="10" t="s">
        <v>360</v>
      </c>
      <c r="B84" s="72">
        <f>VLOOKUP(A84,Hulpblad!$A$88:$P$349,16,FALSE)</f>
        <v>166.965</v>
      </c>
    </row>
    <row r="85" spans="1:2" x14ac:dyDescent="0.2">
      <c r="A85" s="10" t="s">
        <v>400</v>
      </c>
      <c r="B85" s="72">
        <f>VLOOKUP(A85,Hulpblad!$A$88:$P$349,16,FALSE)</f>
        <v>167.31</v>
      </c>
    </row>
    <row r="86" spans="1:2" x14ac:dyDescent="0.2">
      <c r="A86" s="10" t="s">
        <v>335</v>
      </c>
      <c r="B86" s="72">
        <f>VLOOKUP(A86,Hulpblad!$A$88:$P$349,16,FALSE)</f>
        <v>171.57400000000001</v>
      </c>
    </row>
    <row r="87" spans="1:2" x14ac:dyDescent="0.2">
      <c r="A87" s="10" t="s">
        <v>364</v>
      </c>
      <c r="B87" s="72">
        <f>VLOOKUP(A87,Hulpblad!$A$88:$P$349,16,FALSE)</f>
        <v>171.57400000000001</v>
      </c>
    </row>
    <row r="88" spans="1:2" x14ac:dyDescent="0.2">
      <c r="A88" s="67" t="s">
        <v>217</v>
      </c>
      <c r="B88" s="72">
        <f>VLOOKUP(A88,Hulpblad!$A$88:$P$349,16,FALSE)</f>
        <v>172.44399999999999</v>
      </c>
    </row>
    <row r="89" spans="1:2" x14ac:dyDescent="0.2">
      <c r="A89" s="10" t="s">
        <v>272</v>
      </c>
      <c r="B89" s="72">
        <f>VLOOKUP(A89,Hulpblad!$A$88:$P$349,16,FALSE)</f>
        <v>173.173</v>
      </c>
    </row>
    <row r="90" spans="1:2" x14ac:dyDescent="0.2">
      <c r="A90" s="10" t="s">
        <v>165</v>
      </c>
      <c r="B90" s="72">
        <f>VLOOKUP(A90,Hulpblad!$A$88:$P$349,16,FALSE)</f>
        <v>173.49700000000001</v>
      </c>
    </row>
    <row r="91" spans="1:2" x14ac:dyDescent="0.2">
      <c r="A91" s="67" t="s">
        <v>10</v>
      </c>
      <c r="B91" s="72">
        <f>VLOOKUP(A91,Hulpblad!$A$88:$P$349,16,FALSE)</f>
        <v>175.24799999999999</v>
      </c>
    </row>
    <row r="92" spans="1:2" x14ac:dyDescent="0.2">
      <c r="A92" s="10" t="s">
        <v>89</v>
      </c>
      <c r="B92" s="72">
        <f>VLOOKUP(A92,Hulpblad!$A$88:$P$349,16,FALSE)</f>
        <v>175.839</v>
      </c>
    </row>
    <row r="93" spans="1:2" x14ac:dyDescent="0.2">
      <c r="A93" s="67" t="s">
        <v>161</v>
      </c>
      <c r="B93" s="72">
        <f>VLOOKUP(A93,Hulpblad!$A$88:$P$349,16,FALSE)</f>
        <v>175.88499999999999</v>
      </c>
    </row>
    <row r="94" spans="1:2" ht="12.75" customHeight="1" x14ac:dyDescent="0.2">
      <c r="A94" s="10" t="s">
        <v>234</v>
      </c>
      <c r="B94" s="72">
        <f>VLOOKUP(A94,Hulpblad!$A$88:$P$349,16,FALSE)</f>
        <v>176.08</v>
      </c>
    </row>
    <row r="95" spans="1:2" x14ac:dyDescent="0.2">
      <c r="A95" s="10" t="s">
        <v>163</v>
      </c>
      <c r="B95" s="72">
        <f>VLOOKUP(A95,Hulpblad!$A$88:$P$349,16,FALSE)</f>
        <v>188.261</v>
      </c>
    </row>
    <row r="96" spans="1:2" x14ac:dyDescent="0.2">
      <c r="A96" s="10" t="s">
        <v>379</v>
      </c>
      <c r="B96" s="72">
        <f>VLOOKUP(A96,Hulpblad!$A$88:$P$349,16,FALSE)</f>
        <v>190.905</v>
      </c>
    </row>
    <row r="97" spans="1:2" x14ac:dyDescent="0.2">
      <c r="A97" s="10" t="s">
        <v>394</v>
      </c>
      <c r="B97" s="72">
        <f>VLOOKUP(A97,Hulpblad!$A$88:$P$349,16,FALSE)</f>
        <v>196.149</v>
      </c>
    </row>
    <row r="98" spans="1:2" x14ac:dyDescent="0.2">
      <c r="A98" s="10" t="s">
        <v>333</v>
      </c>
      <c r="B98" s="72">
        <f>VLOOKUP(A98,Hulpblad!$A$88:$P$349,16,FALSE)</f>
        <v>197.59899999999999</v>
      </c>
    </row>
    <row r="99" spans="1:2" x14ac:dyDescent="0.2">
      <c r="A99" s="10" t="s">
        <v>362</v>
      </c>
      <c r="B99" s="72">
        <f>VLOOKUP(A99,Hulpblad!$A$88:$P$349,16,FALSE)</f>
        <v>197.59899999999999</v>
      </c>
    </row>
    <row r="100" spans="1:2" x14ac:dyDescent="0.2">
      <c r="A100" s="10" t="s">
        <v>332</v>
      </c>
      <c r="B100" s="72">
        <f>VLOOKUP(A100,Hulpblad!$A$88:$P$349,16,FALSE)</f>
        <v>197.791</v>
      </c>
    </row>
    <row r="101" spans="1:2" x14ac:dyDescent="0.2">
      <c r="A101" s="10" t="s">
        <v>361</v>
      </c>
      <c r="B101" s="72">
        <f>VLOOKUP(A101,Hulpblad!$A$88:$P$349,16,FALSE)</f>
        <v>197.791</v>
      </c>
    </row>
    <row r="102" spans="1:2" x14ac:dyDescent="0.2">
      <c r="A102" s="10" t="s">
        <v>350</v>
      </c>
      <c r="B102" s="72">
        <f>VLOOKUP(A102,Hulpblad!$A$88:$P$349,16,FALSE)</f>
        <v>198.68799999999999</v>
      </c>
    </row>
    <row r="103" spans="1:2" x14ac:dyDescent="0.2">
      <c r="A103" s="10" t="s">
        <v>151</v>
      </c>
      <c r="B103" s="72">
        <f>VLOOKUP(A103,Hulpblad!$A$88:$P$349,16,FALSE)</f>
        <v>198.78100000000001</v>
      </c>
    </row>
    <row r="104" spans="1:2" x14ac:dyDescent="0.2">
      <c r="A104" s="10" t="s">
        <v>9</v>
      </c>
      <c r="B104" s="72">
        <f>VLOOKUP(A104,Hulpblad!$A$88:$P$349,16,FALSE)</f>
        <v>202.34899999999999</v>
      </c>
    </row>
    <row r="105" spans="1:2" x14ac:dyDescent="0.2">
      <c r="A105" s="10" t="s">
        <v>207</v>
      </c>
      <c r="B105" s="72">
        <f>VLOOKUP(A105,Hulpblad!$A$88:$P$349,16,FALSE)</f>
        <v>202.458</v>
      </c>
    </row>
    <row r="106" spans="1:2" x14ac:dyDescent="0.2">
      <c r="A106" s="66" t="s">
        <v>33</v>
      </c>
      <c r="B106" s="72">
        <f>VLOOKUP(A106,Hulpblad!$A$88:$P$349,16,FALSE)</f>
        <v>204.54499999999999</v>
      </c>
    </row>
    <row r="107" spans="1:2" x14ac:dyDescent="0.2">
      <c r="A107" s="10" t="s">
        <v>119</v>
      </c>
      <c r="B107" s="72">
        <f>VLOOKUP(A107,Hulpblad!$A$88:$P$349,16,FALSE)</f>
        <v>205.333</v>
      </c>
    </row>
    <row r="108" spans="1:2" x14ac:dyDescent="0.2">
      <c r="A108" s="114" t="s">
        <v>162</v>
      </c>
      <c r="B108" s="72">
        <f>VLOOKUP(A108,Hulpblad!$A$88:$P$349,16,FALSE)</f>
        <v>208.85599999999999</v>
      </c>
    </row>
    <row r="109" spans="1:2" x14ac:dyDescent="0.2">
      <c r="A109" s="10" t="s">
        <v>412</v>
      </c>
      <c r="B109" s="72">
        <f>VLOOKUP(A109,Hulpblad!$A$88:$P$349,16,FALSE)</f>
        <v>210.39599999999999</v>
      </c>
    </row>
    <row r="110" spans="1:2" x14ac:dyDescent="0.2">
      <c r="A110" s="10" t="s">
        <v>351</v>
      </c>
      <c r="B110" s="72">
        <f>VLOOKUP(A110,Hulpblad!$A$88:$P$349,16,FALSE)</f>
        <v>211.22399999999999</v>
      </c>
    </row>
    <row r="111" spans="1:2" x14ac:dyDescent="0.2">
      <c r="A111" s="10" t="s">
        <v>106</v>
      </c>
      <c r="B111" s="72">
        <f>VLOOKUP(A111,Hulpblad!$A$88:$P$349,16,FALSE)</f>
        <v>215.708</v>
      </c>
    </row>
    <row r="112" spans="1:2" x14ac:dyDescent="0.2">
      <c r="A112" s="10" t="s">
        <v>404</v>
      </c>
      <c r="B112" s="72">
        <f>VLOOKUP(A112,Hulpblad!$A$88:$P$349,16,FALSE)</f>
        <v>223.03200000000001</v>
      </c>
    </row>
    <row r="113" spans="1:2" ht="30" customHeight="1" x14ac:dyDescent="0.2">
      <c r="A113" s="71" t="s">
        <v>80</v>
      </c>
      <c r="B113" s="72"/>
    </row>
    <row r="114" spans="1:2" x14ac:dyDescent="0.2">
      <c r="A114" s="10" t="s">
        <v>399</v>
      </c>
      <c r="B114" s="72">
        <f>VLOOKUP(A114,Hulpblad!$A$88:$P$349,16,FALSE)</f>
        <v>225.179</v>
      </c>
    </row>
    <row r="115" spans="1:2" x14ac:dyDescent="0.2">
      <c r="A115" s="10" t="s">
        <v>150</v>
      </c>
      <c r="B115" s="72">
        <f>VLOOKUP(A115,Hulpblad!$A$88:$P$349,16,FALSE)</f>
        <v>226.55</v>
      </c>
    </row>
    <row r="116" spans="1:2" x14ac:dyDescent="0.2">
      <c r="A116" s="10" t="s">
        <v>160</v>
      </c>
      <c r="B116" s="72">
        <f>VLOOKUP(A116,Hulpblad!$A$88:$P$349,16,FALSE)</f>
        <v>227.13900000000001</v>
      </c>
    </row>
    <row r="117" spans="1:2" x14ac:dyDescent="0.2">
      <c r="A117" s="10" t="s">
        <v>320</v>
      </c>
      <c r="B117" s="72">
        <f>VLOOKUP(A117,Hulpblad!$A$88:$P$349,16,FALSE)</f>
        <v>227.249</v>
      </c>
    </row>
    <row r="118" spans="1:2" x14ac:dyDescent="0.2">
      <c r="A118" s="10" t="s">
        <v>389</v>
      </c>
      <c r="B118" s="72">
        <f>VLOOKUP(A118,Hulpblad!$A$88:$P$349,16,FALSE)</f>
        <v>227.26599999999999</v>
      </c>
    </row>
    <row r="119" spans="1:2" x14ac:dyDescent="0.2">
      <c r="A119" s="10" t="s">
        <v>406</v>
      </c>
      <c r="B119" s="72">
        <f>VLOOKUP(A119,Hulpblad!$A$88:$P$349,16,FALSE)</f>
        <v>227.26599999999999</v>
      </c>
    </row>
    <row r="120" spans="1:2" x14ac:dyDescent="0.2">
      <c r="A120" s="10" t="s">
        <v>205</v>
      </c>
      <c r="B120" s="72">
        <f>VLOOKUP(A120,Hulpblad!$A$88:$P$349,16,FALSE)</f>
        <v>228.81700000000001</v>
      </c>
    </row>
    <row r="121" spans="1:2" x14ac:dyDescent="0.2">
      <c r="A121" s="66" t="s">
        <v>105</v>
      </c>
      <c r="B121" s="72">
        <f>VLOOKUP(A121,Hulpblad!$A$88:$P$349,16,FALSE)</f>
        <v>229.70500000000001</v>
      </c>
    </row>
    <row r="122" spans="1:2" x14ac:dyDescent="0.2">
      <c r="A122" s="10" t="s">
        <v>170</v>
      </c>
      <c r="B122" s="72">
        <f>VLOOKUP(A122,Hulpblad!$A$88:$P$349,16,FALSE)</f>
        <v>233.77799999999999</v>
      </c>
    </row>
    <row r="123" spans="1:2" x14ac:dyDescent="0.2"/>
    <row r="124" spans="1:2" x14ac:dyDescent="0.2">
      <c r="A124" s="10" t="s">
        <v>32</v>
      </c>
      <c r="B124" s="72">
        <f>VLOOKUP(A124,Hulpblad!$A$88:$P$349,16,FALSE)</f>
        <v>234.29599999999999</v>
      </c>
    </row>
    <row r="125" spans="1:2" x14ac:dyDescent="0.2">
      <c r="A125" s="10" t="s">
        <v>326</v>
      </c>
      <c r="B125" s="72">
        <f>VLOOKUP(A125,Hulpblad!$A$88:$P$349,16,FALSE)</f>
        <v>234.33799999999999</v>
      </c>
    </row>
    <row r="126" spans="1:2" x14ac:dyDescent="0.2">
      <c r="A126" s="66" t="s">
        <v>329</v>
      </c>
      <c r="B126" s="72">
        <f>VLOOKUP(A126,Hulpblad!$A$88:$P$349,16,FALSE)</f>
        <v>234.33799999999999</v>
      </c>
    </row>
    <row r="127" spans="1:2" x14ac:dyDescent="0.2">
      <c r="A127" s="10" t="s">
        <v>338</v>
      </c>
      <c r="B127" s="72">
        <f>VLOOKUP(A127,Hulpblad!$A$88:$P$349,16,FALSE)</f>
        <v>234.33799999999999</v>
      </c>
    </row>
    <row r="128" spans="1:2" x14ac:dyDescent="0.2">
      <c r="A128" s="10" t="s">
        <v>358</v>
      </c>
      <c r="B128" s="72">
        <f>VLOOKUP(A128,Hulpblad!$A$88:$P$349,16,FALSE)</f>
        <v>234.33799999999999</v>
      </c>
    </row>
    <row r="129" spans="1:2" x14ac:dyDescent="0.2">
      <c r="A129" s="67" t="s">
        <v>11</v>
      </c>
      <c r="B129" s="72">
        <f>VLOOKUP(A129,Hulpblad!$A$88:$P$349,16,FALSE)</f>
        <v>235.77199999999999</v>
      </c>
    </row>
    <row r="130" spans="1:2" x14ac:dyDescent="0.2">
      <c r="A130" s="10" t="s">
        <v>368</v>
      </c>
      <c r="B130" s="72">
        <f>VLOOKUP(A130,Hulpblad!$A$88:$P$349,16,FALSE)</f>
        <v>235.858</v>
      </c>
    </row>
    <row r="131" spans="1:2" x14ac:dyDescent="0.2">
      <c r="A131" s="10" t="s">
        <v>14</v>
      </c>
      <c r="B131" s="72">
        <f>VLOOKUP(A131,Hulpblad!$A$88:$P$349,16,FALSE)</f>
        <v>237.57900000000001</v>
      </c>
    </row>
    <row r="132" spans="1:2" x14ac:dyDescent="0.2">
      <c r="A132" s="10" t="s">
        <v>142</v>
      </c>
      <c r="B132" s="72">
        <f>VLOOKUP(A132,Hulpblad!$A$88:$P$349,16,FALSE)</f>
        <v>239.61699999999999</v>
      </c>
    </row>
    <row r="133" spans="1:2" x14ac:dyDescent="0.2">
      <c r="A133" s="67" t="s">
        <v>203</v>
      </c>
      <c r="B133" s="72">
        <f>VLOOKUP(A133,Hulpblad!$A$88:$P$349,16,FALSE)</f>
        <v>240.19200000000001</v>
      </c>
    </row>
    <row r="134" spans="1:2" x14ac:dyDescent="0.2">
      <c r="A134" s="67" t="s">
        <v>176</v>
      </c>
      <c r="B134" s="72">
        <f>VLOOKUP(A134,Hulpblad!$A$88:$P$349,16,FALSE)</f>
        <v>245.19499999999999</v>
      </c>
    </row>
    <row r="135" spans="1:2" x14ac:dyDescent="0.2">
      <c r="A135" s="10" t="s">
        <v>367</v>
      </c>
      <c r="B135" s="72">
        <f>VLOOKUP(A135,Hulpblad!$A$88:$P$349,16,FALSE)</f>
        <v>245.226</v>
      </c>
    </row>
    <row r="136" spans="1:2" x14ac:dyDescent="0.2">
      <c r="A136" s="10" t="s">
        <v>381</v>
      </c>
      <c r="B136" s="72">
        <f>VLOOKUP(A136,Hulpblad!$A$88:$P$349,16,FALSE)</f>
        <v>247.53399999999999</v>
      </c>
    </row>
    <row r="137" spans="1:2" x14ac:dyDescent="0.2">
      <c r="A137" s="67" t="s">
        <v>152</v>
      </c>
      <c r="B137" s="72">
        <f>VLOOKUP(A137,Hulpblad!$A$88:$P$349,16,FALSE)</f>
        <v>248.33699999999999</v>
      </c>
    </row>
    <row r="138" spans="1:2" x14ac:dyDescent="0.2">
      <c r="A138" s="10" t="s">
        <v>322</v>
      </c>
      <c r="B138" s="72">
        <f>VLOOKUP(A138,Hulpblad!$A$88:$P$349,16,FALSE)</f>
        <v>248.55500000000001</v>
      </c>
    </row>
    <row r="139" spans="1:2" x14ac:dyDescent="0.2">
      <c r="A139" s="10" t="s">
        <v>331</v>
      </c>
      <c r="B139" s="72">
        <f>VLOOKUP(A139,Hulpblad!$A$88:$P$349,16,FALSE)</f>
        <v>249.881</v>
      </c>
    </row>
    <row r="140" spans="1:2" x14ac:dyDescent="0.2">
      <c r="A140" s="10" t="s">
        <v>340</v>
      </c>
      <c r="B140" s="72">
        <f>VLOOKUP(A140,Hulpblad!$A$88:$P$349,16,FALSE)</f>
        <v>249.881</v>
      </c>
    </row>
    <row r="141" spans="1:2" x14ac:dyDescent="0.2">
      <c r="A141" s="10" t="s">
        <v>330</v>
      </c>
      <c r="B141" s="72">
        <f>VLOOKUP(A141,Hulpblad!$A$88:$P$349,16,FALSE)</f>
        <v>250.38</v>
      </c>
    </row>
    <row r="142" spans="1:2" x14ac:dyDescent="0.2">
      <c r="A142" s="10" t="s">
        <v>339</v>
      </c>
      <c r="B142" s="72">
        <f>VLOOKUP(A142,Hulpblad!$A$88:$P$349,16,FALSE)</f>
        <v>250.38</v>
      </c>
    </row>
    <row r="143" spans="1:2" x14ac:dyDescent="0.2">
      <c r="A143" s="10" t="s">
        <v>8</v>
      </c>
      <c r="B143" s="72">
        <f>VLOOKUP(A143,Hulpblad!$A$88:$P$349,16,FALSE)</f>
        <v>251.12899999999999</v>
      </c>
    </row>
    <row r="144" spans="1:2" x14ac:dyDescent="0.2">
      <c r="A144" s="10" t="s">
        <v>388</v>
      </c>
      <c r="B144" s="72">
        <f>VLOOKUP(A144,Hulpblad!$A$88:$P$349,16,FALSE)</f>
        <v>253.666</v>
      </c>
    </row>
    <row r="145" spans="1:2" x14ac:dyDescent="0.2">
      <c r="A145" s="10" t="s">
        <v>405</v>
      </c>
      <c r="B145" s="72">
        <f>VLOOKUP(A145,Hulpblad!$A$88:$P$349,16,FALSE)</f>
        <v>253.666</v>
      </c>
    </row>
    <row r="146" spans="1:2" x14ac:dyDescent="0.2">
      <c r="A146" s="10" t="s">
        <v>393</v>
      </c>
      <c r="B146" s="72">
        <f>VLOOKUP(A146,Hulpblad!$A$88:$P$349,16,FALSE)</f>
        <v>259.35000000000002</v>
      </c>
    </row>
    <row r="147" spans="1:2" x14ac:dyDescent="0.2">
      <c r="A147" s="10" t="s">
        <v>398</v>
      </c>
      <c r="B147" s="72">
        <f>VLOOKUP(A147,Hulpblad!$A$88:$P$349,16,FALSE)</f>
        <v>262.21800000000002</v>
      </c>
    </row>
    <row r="148" spans="1:2" x14ac:dyDescent="0.2">
      <c r="A148" s="10" t="s">
        <v>159</v>
      </c>
      <c r="B148" s="72">
        <f>VLOOKUP(A148,Hulpblad!$A$88:$P$349,16,FALSE)</f>
        <v>263.846</v>
      </c>
    </row>
    <row r="149" spans="1:2" x14ac:dyDescent="0.2">
      <c r="A149" s="10" t="s">
        <v>208</v>
      </c>
      <c r="B149" s="72">
        <f>VLOOKUP(A149,Hulpblad!$A$88:$P$349,16,FALSE)</f>
        <v>269.88099999999997</v>
      </c>
    </row>
    <row r="150" spans="1:2" x14ac:dyDescent="0.2">
      <c r="A150" s="10" t="s">
        <v>366</v>
      </c>
      <c r="B150" s="72">
        <f>VLOOKUP(A150,Hulpblad!$A$88:$P$349,16,FALSE)</f>
        <v>272.524</v>
      </c>
    </row>
    <row r="151" spans="1:2" x14ac:dyDescent="0.2">
      <c r="A151" s="10" t="s">
        <v>120</v>
      </c>
      <c r="B151" s="72">
        <f>VLOOKUP(A151,Hulpblad!$A$88:$P$349,16,FALSE)</f>
        <v>273.33300000000003</v>
      </c>
    </row>
    <row r="152" spans="1:2" x14ac:dyDescent="0.2">
      <c r="A152" s="10" t="s">
        <v>365</v>
      </c>
      <c r="B152" s="72">
        <f>VLOOKUP(A152,Hulpblad!$A$88:$P$349,16,FALSE)</f>
        <v>276.10700000000003</v>
      </c>
    </row>
    <row r="153" spans="1:2" x14ac:dyDescent="0.2">
      <c r="A153" s="10" t="s">
        <v>164</v>
      </c>
      <c r="B153" s="72">
        <f>VLOOKUP(A153,Hulpblad!$A$88:$P$349,16,FALSE)</f>
        <v>281.60399999999998</v>
      </c>
    </row>
    <row r="154" spans="1:2" x14ac:dyDescent="0.2">
      <c r="A154" s="10" t="s">
        <v>76</v>
      </c>
      <c r="B154" s="72">
        <f>VLOOKUP(A154,Hulpblad!$A$88:$P$349,16,FALSE)</f>
        <v>282.66699999999997</v>
      </c>
    </row>
    <row r="155" spans="1:2" x14ac:dyDescent="0.2">
      <c r="A155" s="67" t="s">
        <v>12</v>
      </c>
      <c r="B155" s="72">
        <f>VLOOKUP(A155,Hulpblad!$A$88:$P$349,16,FALSE)</f>
        <v>282.74599999999998</v>
      </c>
    </row>
    <row r="156" spans="1:2" x14ac:dyDescent="0.2">
      <c r="A156" s="10" t="s">
        <v>92</v>
      </c>
      <c r="B156" s="72">
        <f>VLOOKUP(A156,Hulpblad!$A$88:$P$349,16,FALSE)</f>
        <v>286.62799999999999</v>
      </c>
    </row>
    <row r="157" spans="1:2" x14ac:dyDescent="0.2">
      <c r="A157" s="10" t="s">
        <v>45</v>
      </c>
      <c r="B157" s="72">
        <f>VLOOKUP(A157,Hulpblad!$A$88:$P$349,16,FALSE)</f>
        <v>291.39800000000002</v>
      </c>
    </row>
    <row r="158" spans="1:2" x14ac:dyDescent="0.2">
      <c r="A158" s="10" t="s">
        <v>318</v>
      </c>
      <c r="B158" s="72">
        <f>VLOOKUP(A158,Hulpblad!$A$88:$P$349,16,FALSE)</f>
        <v>293.97000000000003</v>
      </c>
    </row>
    <row r="159" spans="1:2" x14ac:dyDescent="0.2">
      <c r="A159" s="10" t="s">
        <v>410</v>
      </c>
      <c r="B159" s="72">
        <f>VLOOKUP(A159,Hulpblad!$A$88:$P$349,16,FALSE)</f>
        <v>296.24799999999999</v>
      </c>
    </row>
    <row r="160" spans="1:2" x14ac:dyDescent="0.2">
      <c r="A160" s="114" t="s">
        <v>325</v>
      </c>
      <c r="B160" s="72">
        <f>VLOOKUP(A160,Hulpblad!$A$88:$P$349,16,FALSE)</f>
        <v>297.53899999999999</v>
      </c>
    </row>
    <row r="161" spans="1:2" x14ac:dyDescent="0.2">
      <c r="A161" s="67" t="s">
        <v>328</v>
      </c>
      <c r="B161" s="72">
        <f>VLOOKUP(A161,Hulpblad!$A$88:$P$349,16,FALSE)</f>
        <v>297.53899999999999</v>
      </c>
    </row>
    <row r="162" spans="1:2" x14ac:dyDescent="0.2">
      <c r="A162" s="10" t="s">
        <v>337</v>
      </c>
      <c r="B162" s="72">
        <f>VLOOKUP(A162,Hulpblad!$A$88:$P$349,16,FALSE)</f>
        <v>297.53899999999999</v>
      </c>
    </row>
    <row r="163" spans="1:2" x14ac:dyDescent="0.2">
      <c r="A163" s="10" t="s">
        <v>357</v>
      </c>
      <c r="B163" s="72">
        <f>VLOOKUP(A163,Hulpblad!$A$88:$P$349,16,FALSE)</f>
        <v>297.53899999999999</v>
      </c>
    </row>
    <row r="164" spans="1:2" x14ac:dyDescent="0.2">
      <c r="A164" s="10" t="s">
        <v>15</v>
      </c>
      <c r="B164" s="72">
        <f>VLOOKUP(A164,Hulpblad!$A$88:$P$349,16,FALSE)</f>
        <v>299.91000000000003</v>
      </c>
    </row>
    <row r="165" spans="1:2" x14ac:dyDescent="0.2">
      <c r="A165" s="10" t="s">
        <v>16</v>
      </c>
      <c r="B165" s="72">
        <f>VLOOKUP(A165,Hulpblad!$A$88:$P$349,16,FALSE)</f>
        <v>299.91000000000003</v>
      </c>
    </row>
    <row r="166" spans="1:2" x14ac:dyDescent="0.2">
      <c r="A166" s="10" t="s">
        <v>17</v>
      </c>
      <c r="B166" s="72">
        <f>VLOOKUP(A166,Hulpblad!$A$88:$P$349,16,FALSE)</f>
        <v>299.91000000000003</v>
      </c>
    </row>
    <row r="167" spans="1:2" x14ac:dyDescent="0.2">
      <c r="A167" s="67" t="s">
        <v>13</v>
      </c>
      <c r="B167" s="72">
        <f>VLOOKUP(A167,Hulpblad!$A$88:$P$349,16,FALSE)</f>
        <v>299.91000000000003</v>
      </c>
    </row>
    <row r="168" spans="1:2" x14ac:dyDescent="0.2">
      <c r="A168" s="10" t="s">
        <v>324</v>
      </c>
      <c r="B168" s="72">
        <f>VLOOKUP(A168,Hulpblad!$A$88:$P$349,16,FALSE)</f>
        <v>300</v>
      </c>
    </row>
    <row r="169" spans="1:2" x14ac:dyDescent="0.2">
      <c r="A169" s="66" t="s">
        <v>411</v>
      </c>
      <c r="B169" s="72">
        <f>VLOOKUP(A169,Hulpblad!$A$88:$P$349,16,FALSE)</f>
        <v>300</v>
      </c>
    </row>
    <row r="170" spans="1:2" x14ac:dyDescent="0.2">
      <c r="A170" s="66" t="s">
        <v>384</v>
      </c>
      <c r="B170" s="72">
        <f>VLOOKUP(A170,Hulpblad!$A$88:$P$349,16,FALSE)</f>
        <v>300</v>
      </c>
    </row>
    <row r="171" spans="1:2" x14ac:dyDescent="0.2">
      <c r="A171" s="114" t="s">
        <v>327</v>
      </c>
      <c r="B171" s="72">
        <f>VLOOKUP(A171,Hulpblad!$A$88:$P$349,16,FALSE)</f>
        <v>300</v>
      </c>
    </row>
    <row r="172" spans="1:2" x14ac:dyDescent="0.2">
      <c r="A172" s="10" t="s">
        <v>385</v>
      </c>
      <c r="B172" s="72">
        <f>VLOOKUP(A172,Hulpblad!$A$88:$P$349,16,FALSE)</f>
        <v>300</v>
      </c>
    </row>
    <row r="173" spans="1:2" x14ac:dyDescent="0.2">
      <c r="A173" s="10" t="s">
        <v>386</v>
      </c>
      <c r="B173" s="72">
        <f>VLOOKUP(A173,Hulpblad!$A$88:$P$349,16,FALSE)</f>
        <v>300</v>
      </c>
    </row>
    <row r="174" spans="1:2" x14ac:dyDescent="0.2">
      <c r="A174" s="10" t="s">
        <v>387</v>
      </c>
      <c r="B174" s="72">
        <f>VLOOKUP(A174,Hulpblad!$A$88:$P$349,16,FALSE)</f>
        <v>300</v>
      </c>
    </row>
    <row r="175" spans="1:2" x14ac:dyDescent="0.2">
      <c r="A175" s="10" t="s">
        <v>250</v>
      </c>
      <c r="B175" s="72">
        <f>VLOOKUP(A175,Hulpblad!$A$88:$P$349,16,FALSE)</f>
        <v>300</v>
      </c>
    </row>
    <row r="176" spans="1:2" x14ac:dyDescent="0.2">
      <c r="A176" s="10" t="s">
        <v>336</v>
      </c>
      <c r="B176" s="72">
        <f>VLOOKUP(A176,Hulpblad!$A$88:$P$349,16,FALSE)</f>
        <v>300</v>
      </c>
    </row>
    <row r="177" spans="1:2" x14ac:dyDescent="0.2">
      <c r="A177" s="10" t="s">
        <v>390</v>
      </c>
      <c r="B177" s="72">
        <f>VLOOKUP(A177,Hulpblad!$A$88:$P$349,16,FALSE)</f>
        <v>300</v>
      </c>
    </row>
    <row r="178" spans="1:2" x14ac:dyDescent="0.2">
      <c r="A178" s="10" t="s">
        <v>391</v>
      </c>
      <c r="B178" s="72">
        <f>VLOOKUP(A178,Hulpblad!$A$88:$P$349,16,FALSE)</f>
        <v>300</v>
      </c>
    </row>
    <row r="179" spans="1:2" x14ac:dyDescent="0.2">
      <c r="A179" s="10" t="s">
        <v>392</v>
      </c>
      <c r="B179" s="72">
        <f>VLOOKUP(A179,Hulpblad!$A$88:$P$349,16,FALSE)</f>
        <v>300</v>
      </c>
    </row>
    <row r="180" spans="1:2" x14ac:dyDescent="0.2">
      <c r="A180" s="10" t="s">
        <v>356</v>
      </c>
      <c r="B180" s="72">
        <f>VLOOKUP(A180,Hulpblad!$A$88:$P$349,16,FALSE)</f>
        <v>300</v>
      </c>
    </row>
    <row r="181" spans="1:2" x14ac:dyDescent="0.2">
      <c r="A181" s="10" t="s">
        <v>402</v>
      </c>
      <c r="B181" s="72">
        <f>VLOOKUP(A181,Hulpblad!$A$88:$P$349,16,FALSE)</f>
        <v>300</v>
      </c>
    </row>
    <row r="182" spans="1:2" x14ac:dyDescent="0.2">
      <c r="A182" s="10" t="s">
        <v>403</v>
      </c>
      <c r="B182" s="72">
        <f>VLOOKUP(A182,Hulpblad!$A$88:$P$349,16,FALSE)</f>
        <v>300</v>
      </c>
    </row>
    <row r="183" spans="1:2" x14ac:dyDescent="0.2">
      <c r="A183" s="10" t="s">
        <v>288</v>
      </c>
      <c r="B183" s="72">
        <f>VLOOKUP(A183,Hulpblad!$A$88:$P$349,16,FALSE)</f>
        <v>300</v>
      </c>
    </row>
    <row r="184" spans="1:2" x14ac:dyDescent="0.2">
      <c r="A184" s="10" t="s">
        <v>289</v>
      </c>
      <c r="B184" s="72">
        <f>VLOOKUP(A184,Hulpblad!$A$88:$P$349,16,FALSE)</f>
        <v>300</v>
      </c>
    </row>
    <row r="185" spans="1:2" x14ac:dyDescent="0.2">
      <c r="A185" s="10" t="s">
        <v>407</v>
      </c>
      <c r="B185" s="72">
        <f>VLOOKUP(A185,Hulpblad!$A$88:$P$349,16,FALSE)</f>
        <v>300</v>
      </c>
    </row>
    <row r="186" spans="1:2" x14ac:dyDescent="0.2">
      <c r="A186" s="10" t="s">
        <v>290</v>
      </c>
      <c r="B186" s="72">
        <f>VLOOKUP(A186,Hulpblad!$A$88:$P$349,16,FALSE)</f>
        <v>300</v>
      </c>
    </row>
    <row r="187" spans="1:2" x14ac:dyDescent="0.2">
      <c r="A187" s="10" t="s">
        <v>291</v>
      </c>
      <c r="B187" s="72">
        <f>VLOOKUP(A187,Hulpblad!$A$88:$P$349,16,FALSE)</f>
        <v>300</v>
      </c>
    </row>
    <row r="188" spans="1:2" x14ac:dyDescent="0.2">
      <c r="A188" s="10" t="s">
        <v>408</v>
      </c>
      <c r="B188" s="72">
        <f>VLOOKUP(A188,Hulpblad!$A$88:$P$349,16,FALSE)</f>
        <v>300</v>
      </c>
    </row>
    <row r="189" spans="1:2" x14ac:dyDescent="0.2">
      <c r="A189" s="10" t="s">
        <v>409</v>
      </c>
      <c r="B189" s="72">
        <f>VLOOKUP(A189,Hulpblad!$A$88:$P$349,16,FALSE)</f>
        <v>300</v>
      </c>
    </row>
    <row r="190" spans="1:2" x14ac:dyDescent="0.2">
      <c r="A190" s="10" t="s">
        <v>382</v>
      </c>
      <c r="B190" s="72">
        <f>VLOOKUP(A190,Hulpblad!$A$88:$P$349,16,FALSE)</f>
        <v>300</v>
      </c>
    </row>
    <row r="191" spans="1:2" x14ac:dyDescent="0.2">
      <c r="A191" s="10" t="s">
        <v>127</v>
      </c>
      <c r="B191" s="72">
        <f>VLOOKUP(A191,Hulpblad!$A$88:$P$349,16,FALSE)</f>
        <v>300.05799999999999</v>
      </c>
    </row>
    <row r="192" spans="1:2" x14ac:dyDescent="0.2">
      <c r="A192" s="10" t="s">
        <v>34</v>
      </c>
      <c r="B192" s="72">
        <f>VLOOKUP(A192,Hulpblad!$A$88:$P$349,16,FALSE)</f>
        <v>300.06599999999997</v>
      </c>
    </row>
    <row r="193" spans="1:2" x14ac:dyDescent="0.2">
      <c r="A193" s="66" t="s">
        <v>235</v>
      </c>
      <c r="B193" s="72">
        <f>VLOOKUP(A193,Hulpblad!$A$88:$P$349,16,FALSE)</f>
        <v>300.14699999999999</v>
      </c>
    </row>
    <row r="194" spans="1:2" ht="30" customHeight="1" x14ac:dyDescent="0.2">
      <c r="A194" s="71" t="s">
        <v>99</v>
      </c>
      <c r="B194" s="72"/>
    </row>
    <row r="195" spans="1:2" ht="12.75" customHeight="1" x14ac:dyDescent="0.2">
      <c r="A195" s="67" t="s">
        <v>416</v>
      </c>
      <c r="B195" s="72">
        <f>VLOOKUP(A195,Hulpblad!$A$88:$P$349,16,FALSE)</f>
        <v>303.483</v>
      </c>
    </row>
    <row r="196" spans="1:2" ht="12.75" customHeight="1" x14ac:dyDescent="0.2">
      <c r="A196" s="67" t="s">
        <v>212</v>
      </c>
      <c r="B196" s="72">
        <f>VLOOKUP(A196,Hulpblad!$A$88:$P$349,16,FALSE)</f>
        <v>309.50900000000001</v>
      </c>
    </row>
    <row r="197" spans="1:2" x14ac:dyDescent="0.2">
      <c r="A197" s="10" t="s">
        <v>130</v>
      </c>
      <c r="B197" s="72">
        <f>VLOOKUP(A197,Hulpblad!$A$88:$P$349,16,FALSE)</f>
        <v>319.20299999999997</v>
      </c>
    </row>
    <row r="198" spans="1:2" x14ac:dyDescent="0.2">
      <c r="A198" s="66" t="s">
        <v>175</v>
      </c>
      <c r="B198" s="72">
        <f>VLOOKUP(A198,Hulpblad!$A$88:$P$349,16,FALSE)</f>
        <v>329.92599999999999</v>
      </c>
    </row>
    <row r="199" spans="1:2" x14ac:dyDescent="0.2">
      <c r="A199" s="10" t="s">
        <v>93</v>
      </c>
      <c r="B199" s="72">
        <f>VLOOKUP(A199,Hulpblad!$A$88:$P$349,16,FALSE)</f>
        <v>336</v>
      </c>
    </row>
    <row r="200" spans="1:2" x14ac:dyDescent="0.2">
      <c r="A200" s="10" t="s">
        <v>415</v>
      </c>
      <c r="B200" s="72">
        <f>VLOOKUP(A200,Hulpblad!$A$88:$P$349,16,FALSE)</f>
        <v>345.31400000000002</v>
      </c>
    </row>
    <row r="201" spans="1:2" x14ac:dyDescent="0.2">
      <c r="A201" s="10" t="s">
        <v>216</v>
      </c>
      <c r="B201" s="72">
        <f>VLOOKUP(A201,Hulpblad!$A$88:$P$349,16,FALSE)</f>
        <v>350.22199999999998</v>
      </c>
    </row>
    <row r="202" spans="1:2" x14ac:dyDescent="0.2">
      <c r="A202" s="10" t="s">
        <v>138</v>
      </c>
      <c r="B202" s="72">
        <f>VLOOKUP(A202,Hulpblad!$A$88:$P$349,16,FALSE)</f>
        <v>355.22699999999998</v>
      </c>
    </row>
    <row r="203" spans="1:2" x14ac:dyDescent="0.2">
      <c r="A203" s="10" t="s">
        <v>228</v>
      </c>
      <c r="B203" s="72">
        <f>VLOOKUP(A203,Hulpblad!$A$88:$P$349,16,FALSE)</f>
        <v>373.029</v>
      </c>
    </row>
    <row r="204" spans="1:2" x14ac:dyDescent="0.2">
      <c r="A204" s="114" t="s">
        <v>153</v>
      </c>
      <c r="B204" s="72">
        <f>VLOOKUP(A204,Hulpblad!$A$88:$P$349,16,FALSE)</f>
        <v>377.09100000000001</v>
      </c>
    </row>
    <row r="205" spans="1:2" x14ac:dyDescent="0.2">
      <c r="A205" s="10" t="s">
        <v>91</v>
      </c>
      <c r="B205" s="72">
        <f>VLOOKUP(A205,Hulpblad!$A$88:$P$349,16,FALSE)</f>
        <v>382.65</v>
      </c>
    </row>
    <row r="206" spans="1:2" x14ac:dyDescent="0.2">
      <c r="A206" s="10" t="s">
        <v>94</v>
      </c>
      <c r="B206" s="72">
        <f>VLOOKUP(A206,Hulpblad!$A$88:$P$349,16,FALSE)</f>
        <v>384.20499999999998</v>
      </c>
    </row>
    <row r="207" spans="1:2" x14ac:dyDescent="0.2">
      <c r="A207" s="66" t="s">
        <v>133</v>
      </c>
      <c r="B207" s="72">
        <f>VLOOKUP(A207,Hulpblad!$A$88:$P$349,16,FALSE)</f>
        <v>390.93799999999999</v>
      </c>
    </row>
    <row r="208" spans="1:2" x14ac:dyDescent="0.2">
      <c r="A208" s="66" t="s">
        <v>140</v>
      </c>
      <c r="B208" s="72">
        <f>VLOOKUP(A208,Hulpblad!$A$88:$P$349,16,FALSE)</f>
        <v>395.28500000000003</v>
      </c>
    </row>
    <row r="209" spans="1:2" x14ac:dyDescent="0.2">
      <c r="A209" s="10" t="s">
        <v>383</v>
      </c>
      <c r="B209" s="72">
        <f>VLOOKUP(A209,Hulpblad!$A$88:$P$349,16,FALSE)</f>
        <v>396.173</v>
      </c>
    </row>
    <row r="210" spans="1:2" x14ac:dyDescent="0.2">
      <c r="A210" s="10" t="s">
        <v>213</v>
      </c>
      <c r="B210" s="72">
        <f>VLOOKUP(A210,Hulpblad!$A$88:$P$349,16,FALSE)</f>
        <v>399.75799999999998</v>
      </c>
    </row>
    <row r="211" spans="1:2" x14ac:dyDescent="0.2">
      <c r="A211" s="10" t="s">
        <v>35</v>
      </c>
      <c r="B211" s="72">
        <f>VLOOKUP(A211,Hulpblad!$A$88:$P$349,16,FALSE)</f>
        <v>399.80799999999999</v>
      </c>
    </row>
    <row r="212" spans="1:2" x14ac:dyDescent="0.2">
      <c r="A212" s="10" t="s">
        <v>413</v>
      </c>
      <c r="B212" s="72">
        <f>VLOOKUP(A212,Hulpblad!$A$88:$P$349,16,FALSE)</f>
        <v>399.89</v>
      </c>
    </row>
    <row r="213" spans="1:2" x14ac:dyDescent="0.2">
      <c r="A213" s="66" t="s">
        <v>139</v>
      </c>
      <c r="B213" s="72">
        <f>VLOOKUP(A213,Hulpblad!$A$88:$P$349,16,FALSE)</f>
        <v>399.89</v>
      </c>
    </row>
    <row r="214" spans="1:2" x14ac:dyDescent="0.2">
      <c r="A214" s="66" t="s">
        <v>414</v>
      </c>
      <c r="B214" s="72">
        <f>VLOOKUP(A214,Hulpblad!$A$88:$P$349,16,FALSE)</f>
        <v>399.94499999999999</v>
      </c>
    </row>
    <row r="215" spans="1:2" x14ac:dyDescent="0.2">
      <c r="A215" s="10" t="s">
        <v>214</v>
      </c>
      <c r="B215" s="72">
        <f>VLOOKUP(A215,Hulpblad!$A$88:$P$349,16,FALSE)</f>
        <v>400</v>
      </c>
    </row>
    <row r="216" spans="1:2" x14ac:dyDescent="0.2">
      <c r="A216" s="10" t="s">
        <v>36</v>
      </c>
      <c r="B216" s="72">
        <f>VLOOKUP(A216,Hulpblad!$A$88:$P$349,16,FALSE)</f>
        <v>400</v>
      </c>
    </row>
    <row r="217" spans="1:2" x14ac:dyDescent="0.2">
      <c r="A217" s="10" t="s">
        <v>143</v>
      </c>
      <c r="B217" s="72">
        <f>VLOOKUP(A217,Hulpblad!$A$88:$P$349,16,FALSE)</f>
        <v>400</v>
      </c>
    </row>
    <row r="218" spans="1:2" x14ac:dyDescent="0.2">
      <c r="A218" s="10" t="s">
        <v>144</v>
      </c>
      <c r="B218" s="72">
        <f>VLOOKUP(A218,Hulpblad!$A$88:$P$349,16,FALSE)</f>
        <v>400</v>
      </c>
    </row>
    <row r="219" spans="1:2" x14ac:dyDescent="0.2">
      <c r="A219" s="10" t="s">
        <v>95</v>
      </c>
      <c r="B219" s="72">
        <f>VLOOKUP(A219,Hulpblad!$A$88:$P$349,16,FALSE)</f>
        <v>400.10700000000003</v>
      </c>
    </row>
    <row r="220" spans="1:2" x14ac:dyDescent="0.2">
      <c r="A220" s="66" t="s">
        <v>226</v>
      </c>
      <c r="B220" s="72">
        <f>VLOOKUP(A220,Hulpblad!$A$88:$P$349,16,FALSE)</f>
        <v>400.108</v>
      </c>
    </row>
    <row r="221" spans="1:2" x14ac:dyDescent="0.2">
      <c r="A221" s="10" t="s">
        <v>321</v>
      </c>
      <c r="B221" s="72">
        <f>VLOOKUP(A221,Hulpblad!$A$88:$P$349,16,FALSE)</f>
        <v>400.21300000000002</v>
      </c>
    </row>
    <row r="222" spans="1:2" x14ac:dyDescent="0.2"/>
  </sheetData>
  <sheetProtection algorithmName="SHA-512" hashValue="/3Vk2ovkIgrbQWuemaAqh08YgLxFjQYGSAup1bTnK5KJzR6JJy5P/BqSE21x/5Gy4vtZhVLexYdZrhmiT+KRjQ==" saltValue="8PW8hdBsggN8N4jpWhDZlg==" spinCount="100000" sheet="1" objects="1" scenarios="1"/>
  <pageMargins left="0.7" right="0.7" top="0.75" bottom="0.75" header="0.3" footer="0.3"/>
  <headerFooter>
    <oddFooter>&amp;L_x000D_&amp;1#&amp;"Aptos"&amp;10&amp;K000000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F645-C58B-4017-B08D-F619DC57AD98}">
  <dimension ref="A1:AI350"/>
  <sheetViews>
    <sheetView topLeftCell="A84" zoomScale="75" zoomScaleNormal="75" workbookViewId="0">
      <selection activeCell="B343" sqref="B343"/>
    </sheetView>
  </sheetViews>
  <sheetFormatPr defaultColWidth="26.5703125" defaultRowHeight="12.75" x14ac:dyDescent="0.2"/>
  <cols>
    <col min="1" max="1" width="239.5703125" style="42" customWidth="1"/>
    <col min="2" max="3" width="29.85546875" style="42" customWidth="1"/>
    <col min="4" max="4" width="28.85546875" style="42" customWidth="1"/>
    <col min="5" max="5" width="26.5703125" style="42" customWidth="1"/>
    <col min="6" max="6" width="26.85546875" style="42" customWidth="1"/>
    <col min="7" max="7" width="28.5703125" style="42" customWidth="1"/>
    <col min="8" max="8" width="32.140625" style="42" customWidth="1"/>
    <col min="9" max="10" width="25.7109375" style="42" customWidth="1"/>
    <col min="11" max="11" width="31.42578125" style="42" customWidth="1"/>
    <col min="12" max="17" width="25.7109375" style="42" customWidth="1"/>
    <col min="18" max="18" width="29.7109375" style="42" customWidth="1"/>
    <col min="19" max="19" width="25.7109375" style="42" customWidth="1"/>
    <col min="20" max="20" width="44.7109375" style="42" customWidth="1"/>
    <col min="21" max="21" width="25.7109375" style="42" customWidth="1"/>
    <col min="22" max="22" width="32.140625" style="42" customWidth="1"/>
    <col min="23" max="23" width="38.28515625" style="42" customWidth="1"/>
    <col min="24" max="24" width="32.7109375" style="42" customWidth="1"/>
    <col min="25" max="25" width="124.5703125" style="42" customWidth="1"/>
    <col min="26" max="26" width="25.7109375" style="42" customWidth="1"/>
    <col min="27" max="27" width="90.140625" style="42" customWidth="1"/>
    <col min="28" max="28" width="40" style="42" customWidth="1"/>
    <col min="29" max="29" width="51.85546875" style="42" customWidth="1"/>
    <col min="30" max="251" width="9.140625" style="42" customWidth="1"/>
    <col min="252" max="252" width="155.28515625" style="42" customWidth="1"/>
    <col min="253" max="254" width="29.85546875" style="42" customWidth="1"/>
    <col min="255" max="255" width="26.7109375" style="42" customWidth="1"/>
    <col min="256" max="16384" width="26.5703125" style="42"/>
  </cols>
  <sheetData>
    <row r="1" spans="1:15" x14ac:dyDescent="0.2">
      <c r="A1" s="36" t="s">
        <v>39</v>
      </c>
      <c r="D1" s="55"/>
    </row>
    <row r="2" spans="1:15" x14ac:dyDescent="0.2">
      <c r="A2" s="102">
        <v>1</v>
      </c>
      <c r="B2" s="103" t="s">
        <v>47</v>
      </c>
      <c r="G2" s="36"/>
      <c r="I2" s="36"/>
    </row>
    <row r="3" spans="1:15" x14ac:dyDescent="0.2">
      <c r="A3" s="102">
        <v>2</v>
      </c>
      <c r="B3" s="103" t="s">
        <v>37</v>
      </c>
      <c r="G3" s="36"/>
      <c r="I3" s="36"/>
    </row>
    <row r="4" spans="1:15" x14ac:dyDescent="0.2">
      <c r="A4" s="102">
        <v>3</v>
      </c>
      <c r="B4" s="103" t="s">
        <v>122</v>
      </c>
      <c r="G4" s="36"/>
      <c r="I4" s="36"/>
    </row>
    <row r="5" spans="1:15" x14ac:dyDescent="0.2">
      <c r="A5" s="102">
        <v>4</v>
      </c>
      <c r="B5" s="103" t="s">
        <v>53</v>
      </c>
      <c r="G5" s="36"/>
      <c r="I5" s="36"/>
    </row>
    <row r="6" spans="1:15" x14ac:dyDescent="0.2">
      <c r="A6" s="102">
        <v>5</v>
      </c>
      <c r="B6" s="103" t="s">
        <v>54</v>
      </c>
      <c r="C6" s="36"/>
    </row>
    <row r="7" spans="1:15" x14ac:dyDescent="0.2">
      <c r="A7" s="83"/>
      <c r="B7" s="48">
        <v>1</v>
      </c>
      <c r="C7" s="48" t="str">
        <f>VLOOKUP(B7,A2:B6,2,FALSE)</f>
        <v>Hernieuwbare elektriciteit</v>
      </c>
    </row>
    <row r="8" spans="1:15" x14ac:dyDescent="0.2">
      <c r="A8" s="83"/>
    </row>
    <row r="9" spans="1:15" x14ac:dyDescent="0.2">
      <c r="A9" s="36" t="s">
        <v>38</v>
      </c>
      <c r="J9" s="36"/>
      <c r="K9" s="36"/>
      <c r="L9" s="36"/>
    </row>
    <row r="10" spans="1:15" x14ac:dyDescent="0.2">
      <c r="A10" s="42" t="str">
        <f>B2</f>
        <v>Hernieuwbare elektriciteit</v>
      </c>
      <c r="B10" s="42" t="s">
        <v>0</v>
      </c>
      <c r="C10" s="42" t="s">
        <v>40</v>
      </c>
    </row>
    <row r="11" spans="1:15" x14ac:dyDescent="0.2">
      <c r="A11" s="42" t="str">
        <f>B3</f>
        <v>Hernieuwbaar gas</v>
      </c>
      <c r="B11" s="42" t="s">
        <v>64</v>
      </c>
      <c r="C11" s="42" t="s">
        <v>65</v>
      </c>
    </row>
    <row r="12" spans="1:15" x14ac:dyDescent="0.2">
      <c r="A12" s="42" t="str">
        <f>B4</f>
        <v>Hernieuwbare warmte (en gecombineerde opwekking)</v>
      </c>
      <c r="B12" s="42" t="s">
        <v>49</v>
      </c>
      <c r="C12" s="42" t="s">
        <v>48</v>
      </c>
      <c r="D12" s="42" t="s">
        <v>187</v>
      </c>
      <c r="E12" s="42" t="s">
        <v>146</v>
      </c>
    </row>
    <row r="13" spans="1:15" ht="23.25" customHeight="1" x14ac:dyDescent="0.2">
      <c r="A13" s="42" t="str">
        <f>B5</f>
        <v>CO₂-arme warmte</v>
      </c>
      <c r="B13" s="42" t="s">
        <v>50</v>
      </c>
      <c r="C13" s="49" t="s">
        <v>66</v>
      </c>
      <c r="D13" s="42" t="s">
        <v>110</v>
      </c>
      <c r="E13" s="49" t="s">
        <v>82</v>
      </c>
      <c r="F13" s="49" t="s">
        <v>46</v>
      </c>
      <c r="G13" s="49" t="s">
        <v>63</v>
      </c>
      <c r="H13" s="49" t="s">
        <v>21</v>
      </c>
    </row>
    <row r="14" spans="1:15" ht="90" customHeight="1" x14ac:dyDescent="0.2">
      <c r="A14" s="42" t="str">
        <f>B6</f>
        <v>CO₂-arme productie</v>
      </c>
      <c r="B14" s="116" t="s">
        <v>188</v>
      </c>
      <c r="C14" s="116" t="s">
        <v>67</v>
      </c>
      <c r="D14" s="117" t="s">
        <v>189</v>
      </c>
      <c r="E14" s="117" t="s">
        <v>190</v>
      </c>
      <c r="F14" s="117" t="s">
        <v>191</v>
      </c>
      <c r="G14" s="117" t="s">
        <v>192</v>
      </c>
      <c r="H14" s="117" t="s">
        <v>193</v>
      </c>
      <c r="I14" s="117" t="s">
        <v>194</v>
      </c>
      <c r="J14" s="117" t="s">
        <v>195</v>
      </c>
      <c r="K14" s="117" t="s">
        <v>196</v>
      </c>
      <c r="L14" s="118" t="s">
        <v>197</v>
      </c>
      <c r="M14" s="118" t="s">
        <v>198</v>
      </c>
      <c r="N14" s="118" t="s">
        <v>199</v>
      </c>
      <c r="O14" s="119"/>
    </row>
    <row r="16" spans="1:15" x14ac:dyDescent="0.2">
      <c r="A16" s="102" t="str">
        <f>VLOOKUP($C$7,A$10:$N$14,2,FALSE)</f>
        <v>Wind</v>
      </c>
      <c r="B16" s="102">
        <v>1</v>
      </c>
      <c r="C16" s="103" t="str">
        <f t="shared" ref="C16:C28" si="0">IF(A16=0,"",A16)</f>
        <v>Wind</v>
      </c>
    </row>
    <row r="17" spans="1:20" x14ac:dyDescent="0.2">
      <c r="A17" s="102" t="str">
        <f>VLOOKUP($C$7,A$10:$N$14,3,FALSE)</f>
        <v>Zon-PV</v>
      </c>
      <c r="B17" s="102">
        <v>2</v>
      </c>
      <c r="C17" s="103" t="str">
        <f t="shared" si="0"/>
        <v>Zon-PV</v>
      </c>
      <c r="G17" s="36"/>
    </row>
    <row r="18" spans="1:20" x14ac:dyDescent="0.2">
      <c r="A18" s="102">
        <f>VLOOKUP($C$7,A$10:$N$14,4,FALSE)</f>
        <v>0</v>
      </c>
      <c r="B18" s="102">
        <v>3</v>
      </c>
      <c r="C18" s="103" t="str">
        <f t="shared" si="0"/>
        <v/>
      </c>
    </row>
    <row r="19" spans="1:20" x14ac:dyDescent="0.2">
      <c r="A19" s="102">
        <f>VLOOKUP($C$7,A$10:$N$14,5,FALSE)</f>
        <v>0</v>
      </c>
      <c r="B19" s="102">
        <v>4</v>
      </c>
      <c r="C19" s="103" t="str">
        <f t="shared" si="0"/>
        <v/>
      </c>
    </row>
    <row r="20" spans="1:20" x14ac:dyDescent="0.2">
      <c r="A20" s="102">
        <f>VLOOKUP($C$7,A$10:$N$14,6,FALSE)</f>
        <v>0</v>
      </c>
      <c r="B20" s="102">
        <v>5</v>
      </c>
      <c r="C20" s="103" t="str">
        <f t="shared" si="0"/>
        <v/>
      </c>
    </row>
    <row r="21" spans="1:20" x14ac:dyDescent="0.2">
      <c r="A21" s="102">
        <f>VLOOKUP($C$7,A$10:$N$14,7,FALSE)</f>
        <v>0</v>
      </c>
      <c r="B21" s="102">
        <v>6</v>
      </c>
      <c r="C21" s="103" t="str">
        <f t="shared" si="0"/>
        <v/>
      </c>
    </row>
    <row r="22" spans="1:20" x14ac:dyDescent="0.2">
      <c r="A22" s="102">
        <f>VLOOKUP($C$7,A$10:$N$14,8,FALSE)</f>
        <v>0</v>
      </c>
      <c r="B22" s="102">
        <v>7</v>
      </c>
      <c r="C22" s="103" t="str">
        <f t="shared" si="0"/>
        <v/>
      </c>
    </row>
    <row r="23" spans="1:20" x14ac:dyDescent="0.2">
      <c r="A23" s="102">
        <f>VLOOKUP($C$7,A$10:$N$14,9,FALSE)</f>
        <v>0</v>
      </c>
      <c r="B23" s="102">
        <v>8</v>
      </c>
      <c r="C23" s="103" t="str">
        <f t="shared" si="0"/>
        <v/>
      </c>
    </row>
    <row r="24" spans="1:20" x14ac:dyDescent="0.2">
      <c r="A24" s="102">
        <f>VLOOKUP($C$7,A$10:$N$14,10,FALSE)</f>
        <v>0</v>
      </c>
      <c r="B24" s="102">
        <v>9</v>
      </c>
      <c r="C24" s="103" t="str">
        <f t="shared" si="0"/>
        <v/>
      </c>
    </row>
    <row r="25" spans="1:20" x14ac:dyDescent="0.2">
      <c r="A25" s="102">
        <f>VLOOKUP($C$7,A$10:$N$14,11,FALSE)</f>
        <v>0</v>
      </c>
      <c r="B25" s="102">
        <v>10</v>
      </c>
      <c r="C25" s="103" t="str">
        <f t="shared" si="0"/>
        <v/>
      </c>
    </row>
    <row r="26" spans="1:20" x14ac:dyDescent="0.2">
      <c r="A26" s="102">
        <f>VLOOKUP($C$7,A$10:$N$14,12,FALSE)</f>
        <v>0</v>
      </c>
      <c r="B26" s="102">
        <v>11</v>
      </c>
      <c r="C26" s="103" t="str">
        <f t="shared" si="0"/>
        <v/>
      </c>
    </row>
    <row r="27" spans="1:20" x14ac:dyDescent="0.2">
      <c r="A27" s="102">
        <f>VLOOKUP($C$7,A$10:$N$14,13,FALSE)</f>
        <v>0</v>
      </c>
      <c r="B27" s="102">
        <v>12</v>
      </c>
      <c r="C27" s="103" t="str">
        <f t="shared" si="0"/>
        <v/>
      </c>
    </row>
    <row r="28" spans="1:20" x14ac:dyDescent="0.2">
      <c r="A28" s="102">
        <f>VLOOKUP($C$7,A$10:$N$14,14,FALSE)</f>
        <v>0</v>
      </c>
      <c r="B28" s="102">
        <v>13</v>
      </c>
      <c r="C28" s="103" t="str">
        <f t="shared" si="0"/>
        <v/>
      </c>
    </row>
    <row r="29" spans="1:20" ht="12.75" customHeight="1" x14ac:dyDescent="0.2">
      <c r="A29" s="76"/>
      <c r="C29" s="48">
        <v>1</v>
      </c>
      <c r="D29" s="48" t="str">
        <f>VLOOKUP(C29,B16:C28,2,FALSE)</f>
        <v>Wind</v>
      </c>
    </row>
    <row r="30" spans="1:20" ht="12.75" customHeight="1" x14ac:dyDescent="0.2">
      <c r="A30" s="36" t="s">
        <v>41</v>
      </c>
      <c r="B30" s="36"/>
    </row>
    <row r="31" spans="1:20" ht="41.25" customHeight="1" x14ac:dyDescent="0.2">
      <c r="A31" s="42" t="str">
        <f>C10</f>
        <v>Zon-PV</v>
      </c>
      <c r="B31" s="84" t="str">
        <f>A174</f>
        <v>Zon-PV ≥ 15 kWp en &lt; 1 MWp aansluiting &gt; 3*80 A, gebouwgebonden (net = 50%)</v>
      </c>
      <c r="C31" s="84" t="str">
        <f>A175</f>
        <v>Zon-PV ≥ 1 MWp, gebouwgebonden (net = 50%)</v>
      </c>
      <c r="D31" s="84" t="str">
        <f>A176</f>
        <v>Zon-PV ≥ 15 kWp en &lt; 1 MWp aansluiting &gt; 3*80 A, gebouwgebonden met dakaanpassing of lichtgewicht panelen (net = 50%)</v>
      </c>
      <c r="E31" s="84" t="str">
        <f>A177</f>
        <v>Zon-PV ≥ 1 MWp, gebouwgebonden met dakaanpassing of lichtgewicht panelen (net = 50%)</v>
      </c>
      <c r="F31" s="84" t="str">
        <f>A178</f>
        <v>Zon-PV ≥ 15 kWp en &lt; 1 MWp aansluiting &gt; 3*80 A,  op oost-west gevels van gebouwen (net = 50%)</v>
      </c>
      <c r="G31" s="84" t="str">
        <f>A179</f>
        <v>Zon-PV ≥ 15 kWp en &lt; 1 MWp aansluiting &gt; 3*80 A, drijvend op water (net = 50%)</v>
      </c>
      <c r="H31" s="84" t="str">
        <f>A180</f>
        <v>Zon-PV ≥ 1 MWp, drijvend op water (net = 50%)</v>
      </c>
      <c r="I31" s="84" t="str">
        <f>A181</f>
        <v>Zon-PV ≥ 15 kWp en &lt; 1 MWp aansluiting &gt; 3*80 A, op land natuurinclusief (net = 50%)</v>
      </c>
      <c r="J31" s="84" t="str">
        <f>A182</f>
        <v>Zon-PV ≥ 1 MWp en &lt; 20 MWp, op land natuurinclusief (net = 50%)</v>
      </c>
      <c r="K31" s="49" t="str">
        <f>A183</f>
        <v>Zon-PV ≥ 20 MWp, op land natuurinclusief (net = 50%)</v>
      </c>
      <c r="L31" s="49" t="str">
        <f>A184</f>
        <v xml:space="preserve">Zon-PV ≥ 15kWp en &lt; 1 MWp aansluiting &gt; 3*80 A,  verticaal op land </v>
      </c>
      <c r="M31" s="84" t="str">
        <f>A185</f>
        <v xml:space="preserve">Zon-PV ≥ 1 MWp aansluiting &gt; 3*80 A,  verticaal op land </v>
      </c>
      <c r="N31" s="84" t="str">
        <f>A186</f>
        <v xml:space="preserve">Zon-PV ≥ 1 MWp, zonvolgend op land natuurinclusief </v>
      </c>
      <c r="O31" s="49" t="str">
        <f>A187</f>
        <v>Zon-PV ≥ 15 kWp en &lt;  1 MWp aansluiting &gt; 3*80 A, op land met bestemming verkeer langs wegen en spoor (net = 50%)</v>
      </c>
      <c r="P31" s="49"/>
      <c r="T31" s="49"/>
    </row>
    <row r="32" spans="1:20" ht="24.95" customHeight="1" x14ac:dyDescent="0.2">
      <c r="A32" s="42" t="str">
        <f>B10</f>
        <v>Wind</v>
      </c>
      <c r="B32" s="49" t="str">
        <f>A157</f>
        <v>Wind op land ≥ 8,0 m/s</v>
      </c>
      <c r="C32" s="49" t="str">
        <f>A158</f>
        <v>Wind op land ≥ 7,5 en &lt; 8,0 m/s</v>
      </c>
      <c r="D32" s="49" t="str">
        <f>A159</f>
        <v>Wind op land ≥ 7,0 en &lt; 7,5 m/s</v>
      </c>
      <c r="E32" s="49" t="str">
        <f>A160</f>
        <v>Wind op land ≥ 6,75 en &lt; 7,0 m/s</v>
      </c>
      <c r="F32" s="49" t="str">
        <f>A161</f>
        <v>Wind op land &lt; 6,75 m/s</v>
      </c>
      <c r="G32" s="49" t="str">
        <f>A162</f>
        <v>Wind op land, hoogtebeperkt ≥ 8,0 m/s</v>
      </c>
      <c r="H32" s="49" t="str">
        <f>A163</f>
        <v>Wind op land, hoogtebeperkt ≥ 7,5 en &lt; 8,0 m/s</v>
      </c>
      <c r="I32" s="49" t="str">
        <f>A164</f>
        <v>Wind op land, hoogtebeperkt ≥ 7,0 en &lt; 7,5 m/s</v>
      </c>
      <c r="J32" s="49" t="str">
        <f>A165</f>
        <v>Wind op land, hoogtebeperkt ≥ 6,75 en &lt; 7,0 m/s</v>
      </c>
      <c r="K32" s="49" t="str">
        <f>A166</f>
        <v>Wind op land, hoogtebeperkt &lt; 6,75 m/s</v>
      </c>
      <c r="L32" s="49" t="str">
        <f>A167</f>
        <v>Wind op waterkering ≥ 8,0 m/s</v>
      </c>
      <c r="M32" s="49" t="str">
        <f>A168</f>
        <v>Wind op waterkering ≥ 7,5 en &lt; 8,0 m/s</v>
      </c>
      <c r="N32" s="49" t="str">
        <f>A169</f>
        <v>Wind op waterkering ≥ 7,0 en &lt; 7,5 m/s</v>
      </c>
      <c r="O32" s="49" t="str">
        <f>A170</f>
        <v>Wind op waterkering ≥ 6,75 en &lt; 7,0 m/s</v>
      </c>
      <c r="P32" s="49" t="str">
        <f>A171</f>
        <v>Wind op waterkering &lt; 6,75 m/s</v>
      </c>
      <c r="T32" s="49"/>
    </row>
    <row r="33" spans="1:27" ht="53.25" customHeight="1" x14ac:dyDescent="0.2">
      <c r="A33" s="42" t="str">
        <f>B11</f>
        <v>Biomassavergisting (hernieuwbaar gas)</v>
      </c>
      <c r="B33" s="84" t="str">
        <f>A106</f>
        <v>Allesvergisting, hernieuwbaar gas</v>
      </c>
      <c r="C33" s="84" t="str">
        <f>A107</f>
        <v>Allesvergisting voortzetting, hernieuwbaar gas</v>
      </c>
      <c r="D33" s="84" t="str">
        <f>A108</f>
        <v>Allesvergisting extra faciliteit (ombouw naar hernieuwbaar gas)</v>
      </c>
      <c r="E33" s="84" t="str">
        <f>A109</f>
        <v>Monomestvergisting, hernieuwbaar gas ≤ 110 kW</v>
      </c>
      <c r="F33" s="49" t="str">
        <f>A110</f>
        <v>Monomestvergisting, hernieuwbaar gas &gt; 110 kW en ≤ 1500 kW</v>
      </c>
      <c r="G33" s="84" t="str">
        <f>A111</f>
        <v>Monomestvergisting, hernieuwbaar gas &gt; 1500 kW</v>
      </c>
      <c r="H33" s="84" t="str">
        <f>A112</f>
        <v>Monomestvergisting voortzetting ≤ 1500 kW, hernieuwbaar gas</v>
      </c>
      <c r="I33" s="84" t="str">
        <f>A113</f>
        <v>Monomestvergisting extra faciliteit (ombouw naar hernieuwbaar gas) ≤ 1500 kW</v>
      </c>
      <c r="J33" s="84" t="str">
        <f>A114</f>
        <v>RWZI verbeterde slibgisting, hernieuwbaar gas</v>
      </c>
      <c r="K33" s="49" t="str">
        <f>A115</f>
        <v>RWZI slibgisting extra faciliteit (ombouw naar hernieuwbaar gas)</v>
      </c>
      <c r="M33" s="49"/>
      <c r="N33" s="49"/>
      <c r="O33" s="49"/>
      <c r="P33" s="49"/>
      <c r="Q33" s="49"/>
      <c r="R33" s="49"/>
      <c r="S33" s="49"/>
      <c r="T33" s="49"/>
    </row>
    <row r="34" spans="1:27" ht="24.95" customHeight="1" x14ac:dyDescent="0.2">
      <c r="A34" s="42" t="str">
        <f>C11</f>
        <v>Biomassavergassing (hernieuwbaar gas)</v>
      </c>
      <c r="B34" s="49" t="str">
        <f>A116</f>
        <v xml:space="preserve">Biomassavergassing inclusief B-Hout </v>
      </c>
      <c r="C34" s="49" t="str">
        <f>A117</f>
        <v xml:space="preserve">Biomassavergassing exclusief B-Hout </v>
      </c>
      <c r="D34" s="49"/>
      <c r="E34" s="49"/>
      <c r="F34" s="49"/>
      <c r="G34" s="49"/>
      <c r="H34" s="49"/>
      <c r="I34" s="49"/>
      <c r="K34" s="49"/>
      <c r="L34" s="49"/>
      <c r="M34" s="49"/>
      <c r="N34" s="49"/>
      <c r="O34" s="49"/>
      <c r="P34" s="49"/>
      <c r="Q34" s="49"/>
      <c r="R34" s="49"/>
      <c r="S34" s="49"/>
      <c r="T34" s="49"/>
    </row>
    <row r="35" spans="1:27" ht="24.95" customHeight="1" x14ac:dyDescent="0.2">
      <c r="A35" s="42" t="str">
        <f>E12</f>
        <v>Zonthermie</v>
      </c>
      <c r="B35" s="49" t="str">
        <f>A190</f>
        <v>Zonthermie ≥ 140 kW en &lt; 1 MW</v>
      </c>
      <c r="C35" s="49" t="str">
        <f>A191</f>
        <v>Zonthermie ≥ 1 MW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</row>
    <row r="36" spans="1:27" ht="39.75" customHeight="1" x14ac:dyDescent="0.2">
      <c r="A36" s="42" t="str">
        <f>C12</f>
        <v>Biomassavergisting</v>
      </c>
      <c r="B36" s="49" t="str">
        <f>A97</f>
        <v>Allesvergisting, warmte</v>
      </c>
      <c r="C36" s="49" t="str">
        <f>A88</f>
        <v>Allesvergisting, gecombineerde opwekking</v>
      </c>
      <c r="D36" s="49" t="str">
        <f>A98</f>
        <v>Allesvergisting voortzetting, warmte</v>
      </c>
      <c r="E36" s="49" t="str">
        <f>A89</f>
        <v>Allesvergisting voortzetting, gecombineerde opwekking</v>
      </c>
      <c r="F36" s="49" t="str">
        <f>A99</f>
        <v>Monomestvergisting, warmte ≤ 110 kW</v>
      </c>
      <c r="G36" s="49" t="str">
        <f>A100</f>
        <v>Monomestvergisting, warmte &gt; 110 kW en ≤ 1500 kW</v>
      </c>
      <c r="H36" s="49" t="str">
        <f>A101</f>
        <v>Monomestvergisting, warmte &gt; 1500 kW</v>
      </c>
      <c r="I36" s="49" t="str">
        <f>A90</f>
        <v>Monomestvergisting, gecombineerde opwekking ≤ 110 kW</v>
      </c>
      <c r="J36" s="49" t="str">
        <f>A91</f>
        <v>Monomestvergisting, gecombineerde opwekking &gt; 110 kW en ≤ 1500 kW</v>
      </c>
      <c r="K36" s="49" t="str">
        <f>A92</f>
        <v>Monomestvergisting, gecombineerde opwekking &gt; 1500 kW</v>
      </c>
      <c r="L36" s="49" t="str">
        <f>A102</f>
        <v>Monomestvergisting voortzetting, warmte ≤ 1500 kW</v>
      </c>
      <c r="M36" s="49" t="str">
        <f>A93</f>
        <v xml:space="preserve">Monomestvergisting voortzetting, gecombineerde opwekking ≤ 1500 kW </v>
      </c>
      <c r="N36" s="49" t="str">
        <f>A103</f>
        <v>RWZI verbeterde slibgisting, warmte</v>
      </c>
      <c r="O36" s="49" t="str">
        <f>A94</f>
        <v>RWZI verbeterde slibgisting, gecombineerde opwekking</v>
      </c>
      <c r="AA36" s="49"/>
    </row>
    <row r="37" spans="1:27" ht="39.75" customHeight="1" x14ac:dyDescent="0.2">
      <c r="A37" s="42" t="str">
        <f>B12</f>
        <v>Biomassaverbranding</v>
      </c>
      <c r="B37" s="49" t="str">
        <f>A122</f>
        <v>Grote ketel op vaste of vloeibare biomassa ≥ 5 MWth</v>
      </c>
      <c r="C37" s="49" t="str">
        <f>A126</f>
        <v xml:space="preserve">Grote ketel op vaste of vloeibare biomassa ≥ 5 MWth, voortzetting </v>
      </c>
      <c r="D37" s="49" t="str">
        <f>A123</f>
        <v>Stoomketel op houtpellets ≥ 5 MWth en &lt; 50 MWth</v>
      </c>
      <c r="E37" s="49" t="str">
        <f>A124</f>
        <v>Stoomketel op houtpellets ≥ 50 MWth</v>
      </c>
      <c r="F37" s="49" t="str">
        <f>A125</f>
        <v>Directe inzet van houtpellets voor industriële toepassingen ≥ 5 MWth</v>
      </c>
      <c r="G37" s="49" t="str">
        <f>A120</f>
        <v>Installatie op vloeibare biomassa voor stadsverwarming ≥ 0,5 MWth</v>
      </c>
      <c r="H37" s="49" t="str">
        <f>A121</f>
        <v>Installatie op vloeibare biomassa voor overige toepassingen ≥ 0,5 MWth</v>
      </c>
      <c r="I37" s="49" t="str">
        <f>A127</f>
        <v xml:space="preserve">Grote ketel op B-hout, voortzetting </v>
      </c>
      <c r="J37" s="49"/>
      <c r="U37" s="49"/>
      <c r="V37" s="49"/>
      <c r="W37" s="49"/>
      <c r="X37" s="49"/>
      <c r="Y37" s="49"/>
      <c r="Z37" s="49"/>
      <c r="AA37" s="49"/>
    </row>
    <row r="38" spans="1:27" ht="36" customHeight="1" x14ac:dyDescent="0.2">
      <c r="A38" s="42" t="str">
        <f>D12</f>
        <v>Geothermie diep</v>
      </c>
      <c r="B38" s="49" t="str">
        <f>A135</f>
        <v>Diepe geothermie &lt; 12 MWth (6000 vollasturen)</v>
      </c>
      <c r="C38" s="49" t="str">
        <f>A136</f>
        <v>Diepe geothermie ≥ 12 MWth &lt; 20 MWth (6000 vollasturen)</v>
      </c>
      <c r="D38" s="49" t="str">
        <f>A137</f>
        <v>Diepe geothermie ≥ 20 MWth (6000 vollasturen)</v>
      </c>
      <c r="E38" s="49" t="str">
        <f>A138</f>
        <v>Diepe geothermie &lt; 12 MWth, ombouw van bestaande olie- en/of gasputten (6000 vollasturen)</v>
      </c>
      <c r="F38" s="49" t="str">
        <f>A139</f>
        <v>Diepe geothermie ≥ 12 MWth en &lt; 20 MWth, ombouw van bestaande olie- en/of gasputten (6000 vollasturen)</v>
      </c>
      <c r="G38" s="49" t="str">
        <f>A140</f>
        <v>Diepe geothermie ≥ 20 MWth, basislast, ombouw van bestaande olie- en/of gasputten (6000 vollasturen)</v>
      </c>
      <c r="H38" s="49" t="str">
        <f>A141</f>
        <v>Diepe geothermie &lt; 12 MWth, verwarming gebouwde omgeving (3500 vollasturen)</v>
      </c>
      <c r="I38" s="49" t="str">
        <f>A142</f>
        <v>Diepe geothermie ≥ 12 MWth, verwarming gebouwde omgeving (3500 vollasturen)</v>
      </c>
      <c r="J38" s="49" t="str">
        <f>A143</f>
        <v>Diepe geothermie, verwarming gebouwde omgeving (5000 vollasturen)</v>
      </c>
      <c r="K38" s="49" t="str">
        <f>A144</f>
        <v>Diepe geothermie, uitbreiding productie-installatie met tenminste één aanvullende put (6000 vollasturen)</v>
      </c>
      <c r="L38" s="49"/>
      <c r="M38" s="49"/>
      <c r="N38" s="49"/>
      <c r="O38" s="49"/>
      <c r="P38" s="49"/>
      <c r="Q38" s="49"/>
      <c r="R38" s="49"/>
      <c r="S38" s="49"/>
      <c r="T38" s="49"/>
    </row>
    <row r="39" spans="1:27" ht="50.25" customHeight="1" x14ac:dyDescent="0.2">
      <c r="A39" s="42" t="str">
        <f>E13</f>
        <v>Geothermie (on)diep met warmtepomp</v>
      </c>
      <c r="B39" s="49" t="str">
        <f>A130</f>
        <v>Ondiepe geothermie met warmtepomp (6000 vollasturen)</v>
      </c>
      <c r="C39" s="49" t="str">
        <f>A131</f>
        <v>Ondiepe geothermie met warmtepomp, verwarming gebouwde omgeving (3500 vollasturen)</v>
      </c>
      <c r="D39" s="49" t="str">
        <f>A132</f>
        <v>Diepe geothermie met warmtepomp, geen basislast, verwarming gebouwde omgeving</v>
      </c>
      <c r="E39" s="49" t="str">
        <f>A133</f>
        <v>Diepe geothermie met warmtepomp &lt; 12 MWth, basislast, verwarming gebouwde omgeving</v>
      </c>
      <c r="F39" s="49" t="str">
        <f>A134</f>
        <v>Diepe geothermie met warmtepomp ≥ 12 MWth, basislast, verwarming gebouwde omgeving</v>
      </c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1:27" ht="63" customHeight="1" x14ac:dyDescent="0.2">
      <c r="A40" s="42" t="str">
        <f>B13</f>
        <v>Aquathermie (thermische energie uit water met warmtepomp)</v>
      </c>
      <c r="B40" s="49" t="str">
        <f>A147</f>
        <v>Aquathermie, basislast, verwarming gebouwde omgeving, nieuw warmteoverdrachtstation (6000 vollasturen)</v>
      </c>
      <c r="C40" s="49" t="str">
        <f>A148</f>
        <v>Aquathermie, basislast, verwarming gebouwde omgeving (6000 vollasturen)</v>
      </c>
      <c r="D40" s="49" t="str">
        <f>A149</f>
        <v>Aquathermie, geen basislast, stadsverwarming (3500 vollasturen)</v>
      </c>
      <c r="E40" s="49" t="str">
        <f>A150</f>
        <v>Aquathermie met seizoensopslag, geen basislast, rechtstreekse levering aan gebouw (3500 vollasturen)</v>
      </c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</row>
    <row r="41" spans="1:27" ht="24.95" customHeight="1" x14ac:dyDescent="0.2">
      <c r="A41" s="42" t="str">
        <f>C13</f>
        <v>Zon-PVT systeem met warmtepomp</v>
      </c>
      <c r="B41" s="49" t="str">
        <f>A192</f>
        <v>Zon-PVT systeem, stadsverwarming</v>
      </c>
      <c r="D41" s="49"/>
      <c r="E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</row>
    <row r="42" spans="1:27" ht="63.75" customHeight="1" x14ac:dyDescent="0.2">
      <c r="A42" s="42" t="str">
        <f>D13</f>
        <v>Lucht-water warmtepomp</v>
      </c>
      <c r="B42" s="49" t="str">
        <f>A153</f>
        <v>Lucht-water-warmtepomp voor verwarming bestaande gebouwde omgeving, geen basislast, middentemperatuur (≥ 70 ⁰C)</v>
      </c>
      <c r="C42" s="49" t="str">
        <f>A154</f>
        <v>Lucht-water-warmtepomp voor verwarming bestaande gebouwde omgeving of bestaande tuinbouwkassen, geen basislast, lagetemperatuur (≥ 40 ⁰C)</v>
      </c>
      <c r="D42" s="49"/>
      <c r="E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</row>
    <row r="43" spans="1:27" ht="39" customHeight="1" x14ac:dyDescent="0.2">
      <c r="A43" s="42" t="str">
        <f>G13</f>
        <v>Industriële warmtepompen</v>
      </c>
      <c r="B43" s="49" t="str">
        <f>A313</f>
        <v>Industriële gesloten warmtepomp (8000 vollasturen)</v>
      </c>
      <c r="C43" s="49" t="str">
        <f>A314</f>
        <v>Industriële gesloten warmtepomp (5000 vollasturen)</v>
      </c>
      <c r="D43" s="49" t="str">
        <f>A315</f>
        <v>Industriële gesloten warmtepomp (3000 vollasturen)</v>
      </c>
      <c r="E43" s="49" t="str">
        <f>A316</f>
        <v>Procesgeïntegreerde warmtepomp in een bestaand verdampingsproces (8000 uur)</v>
      </c>
      <c r="F43" s="49" t="str">
        <f>A317</f>
        <v>Procesgeïntegreerde warmtepomp in een bestaand verdampingsproces (5000 uur)</v>
      </c>
      <c r="G43" s="49" t="str">
        <f>A318</f>
        <v>Procesgeïntegreerde warmtepomp in een bestaand verdampingsproces (3000 uur)</v>
      </c>
      <c r="H43" s="49" t="str">
        <f>A319</f>
        <v>Procesgeïntegreerde warmtepomp met aanpassing van bestaand verdampingsproces (8000 uur)</v>
      </c>
      <c r="I43" s="49" t="str">
        <f>A320</f>
        <v>Procesgeïntegreerde warmtepomp met aanpassing van bestaand verdampingsproces (5000 uur)</v>
      </c>
      <c r="J43" s="49" t="str">
        <f>A321</f>
        <v>Procesgeïntegreerde warmtepomp met aanpassing van bestaand verdampingsproces (3000 uur)</v>
      </c>
      <c r="K43" s="49" t="str">
        <f>A322</f>
        <v>Procesgeïntegreerde warmtepomp in een verdampingsproces met laag dauwpunt</v>
      </c>
      <c r="L43" s="49"/>
      <c r="M43" s="49"/>
      <c r="N43" s="49"/>
      <c r="O43" s="49"/>
      <c r="P43" s="49"/>
      <c r="Q43" s="49"/>
      <c r="R43" s="49"/>
      <c r="S43" s="49"/>
      <c r="T43" s="49"/>
    </row>
    <row r="44" spans="1:27" ht="40.5" customHeight="1" x14ac:dyDescent="0.2">
      <c r="A44" s="42" t="str">
        <f>H13</f>
        <v>Restwarmtebenutting</v>
      </c>
      <c r="B44" s="49" t="str">
        <f>A325</f>
        <v>Restwarmtebenutting (zonder warmtepomp), transportleiding &lt; 0,10 km/MWth</v>
      </c>
      <c r="C44" s="120" t="str">
        <f>A326</f>
        <v>Restwarmtebenutting (zonder warmtepomp), transportleiding ≥ 0,10 en &lt; 0,20 km/MWth</v>
      </c>
      <c r="D44" s="49" t="str">
        <f>A327</f>
        <v>Restwarmtebenutting (zonder warmtepomp), transportleiding ≥ 0,20 en &lt; 0,30 km/MWth</v>
      </c>
      <c r="E44" s="49" t="str">
        <f>A328</f>
        <v>Restwarmtebenutting (zonder warmtepomp), transportleiding ≥ 0,30 en &lt; 0,40 km/MWth</v>
      </c>
      <c r="F44" s="49" t="str">
        <f>A329</f>
        <v>Restwarmtebenutting (zonder warmtepomp), transportleiding ≥ 0,40 km/MWth</v>
      </c>
      <c r="G44" s="49" t="str">
        <f>A330</f>
        <v>Restwarmtebenutting met warmtepomp, transportleiding &lt; 0,10 km/MWth</v>
      </c>
      <c r="H44" s="49" t="str">
        <f>A331</f>
        <v>Restwarmtebenutting met warmtepomp, transportleiding ≥ 0,10 en &lt; 0,20 km/MWth</v>
      </c>
      <c r="I44" s="49" t="str">
        <f>A332</f>
        <v>Restwarmtebenutting met warmtepomp, transportleiding ≥ 0,20 en &lt; 0,30 km/MWth</v>
      </c>
      <c r="J44" s="49" t="str">
        <f>A333</f>
        <v>Restwarmtebenutting met warmtepomp, transportleiding ≥ 0,30 en &lt; 0,40 km/MWth</v>
      </c>
      <c r="K44" s="49" t="str">
        <f>A334</f>
        <v>Restwarmtebenutting met warmtepomp, transportleiding ≥ 0,40 km/MWth</v>
      </c>
      <c r="L44" s="49"/>
      <c r="M44" s="49"/>
      <c r="N44" s="49"/>
      <c r="O44" s="49"/>
      <c r="P44" s="49"/>
      <c r="Q44" s="49"/>
      <c r="R44" s="49"/>
      <c r="S44" s="49"/>
      <c r="T44" s="49"/>
    </row>
    <row r="45" spans="1:27" ht="62.25" customHeight="1" x14ac:dyDescent="0.2">
      <c r="A45" s="75" t="str">
        <f>F13</f>
        <v>Grootschalige elektrische boiler</v>
      </c>
      <c r="B45" s="49" t="str">
        <f>A338</f>
        <v>Grootschalige elektrische boiler, stadsverwarming</v>
      </c>
      <c r="C45" s="49" t="str">
        <f>A339</f>
        <v>Grootschalige elektrische boiler, industriele toepassing niet zijnde tuinbouw</v>
      </c>
      <c r="D45" s="49" t="str">
        <f>A340</f>
        <v>Grootschalige elektrische boiler, industriele toepassing niet zijnde tuinbouw, met hogetemperatuuropslag</v>
      </c>
      <c r="E45" s="49" t="str">
        <f>A341</f>
        <v>Grootschalige elektrische boiler voortzetting, stadsverwarming</v>
      </c>
      <c r="F45" s="49" t="str">
        <f>A342</f>
        <v>Grootschalige elektrische boiler voortzetting, industriele toepassing niet zijnde tuinbouw</v>
      </c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</row>
    <row r="46" spans="1:27" ht="24.95" customHeight="1" x14ac:dyDescent="0.2">
      <c r="A46" s="42" t="str">
        <f>B14</f>
        <v>Waterstofproductie</v>
      </c>
      <c r="B46" s="49" t="str">
        <f>A343</f>
        <v xml:space="preserve">Waterstof uit elektrolyse, netgekoppeld met hernieuwbare stroomafnameovereenkomsten </v>
      </c>
      <c r="C46" s="49" t="str">
        <f>A344</f>
        <v>Waterstof uit elektrolyse, directe lijn met windpark of zonnepark</v>
      </c>
      <c r="D46" s="49" t="str">
        <f>A345</f>
        <v>Waterstof uit vergassing van afval</v>
      </c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</row>
    <row r="47" spans="1:27" ht="49.5" customHeight="1" x14ac:dyDescent="0.2">
      <c r="A47" s="42" t="str">
        <f>C14</f>
        <v>Geavanceerde hernieuwbare transportbrandstoffen (vloeibaar gas, benzine- en dieselvervangers)</v>
      </c>
      <c r="B47" s="49" t="str">
        <f>A348</f>
        <v>Bio-methanol uit vaste lignocellulosehoudende biomassa (benzinevervanger)</v>
      </c>
      <c r="C47" s="49" t="str">
        <f>A349</f>
        <v>Bio-LNG uit allesvergisting (vloeibaar gas)</v>
      </c>
      <c r="D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</row>
    <row r="48" spans="1:27" ht="24.75" customHeight="1" x14ac:dyDescent="0.2">
      <c r="A48" s="42" t="str">
        <f>D14</f>
        <v>CO2-afvang en opslag (CCS) 4.000 uur bij biomassaverbranding, biogene procesemissies en uit omgevingslucht (combinatie met 4.000 uur CCU mogelijk)</v>
      </c>
      <c r="B48" s="49" t="str">
        <f>A195</f>
        <v>CCS - Gedeeltelijke CO2-opslag bij bestaande biomassaverbrandingsinstallatie ≤ 100 MWe of uit omgevingslucht, gasvormig transport (art. 79.3.a.1⁰)</v>
      </c>
      <c r="C48" s="49" t="str">
        <f>A196</f>
        <v>CCS - Gedeeltelijke CO2-opslag bij bestaande biomassaverbrandingsinstallatie ≤ 100 MWe of uit omgevingslucht, vloeibaar transport, nieuwe vervloeiingsinstallatie (art. 79.3.a.2⁰)</v>
      </c>
      <c r="D48" s="49" t="str">
        <f>A197</f>
        <v>CCS - Gedeeltelijke CO2-opslag bij bestaande biomassaverbrandingsinstallatie ≤ 100 MWe of uit omgevingslucht, vloeibaar transport (art. 79.3.a.3⁰)</v>
      </c>
      <c r="E48" s="49" t="str">
        <f>A198</f>
        <v>CCS - Gedeeltelijke CO2-opslag bij bestaande biomassaverbrandingsinstallatie ≤ 100 MWe of uit omgevingslucht, vloeibaar transport, nieuwe vervloeiingsinstallatie, invoedpijplijn ≥ 20 Mton per jaar, gecontracteerde cap. ≤ 35% (art. 79.3.a.4⁰)</v>
      </c>
      <c r="F48" s="49" t="str">
        <f>A199</f>
        <v>CCS - Gedeeltelijke CO2-opslag bij bestaande biomassaverbrandingsinstallatie ≤ 100 MWe of uit omgevingslucht, vloeibaar transport, invoedpijplijn ≥ 20 Mton per jaar, gecontracteerde cap. ≤ 35% (art. 79.3.a.5⁰)</v>
      </c>
      <c r="G48" s="49" t="str">
        <f>A200</f>
        <v>CCS - Gedeeltelijke CO2-opslag biogene procesemissies, gasvormig transport (art. 79.4.a.1⁰)</v>
      </c>
      <c r="H48" s="49" t="str">
        <f>A201</f>
        <v>CCS - Gedeeltelijke CO2-opslag biogene procesemissies, vloeibaar transport, nieuwe vervloeiingsinstallatie (art. 79.4.a.2⁰)</v>
      </c>
      <c r="I48" s="49" t="str">
        <f>A202</f>
        <v>CCS - Gedeeltelijke CO2-opslag biogene procesemissies, vloeibaar transport (art. 79.4.a.3⁰)</v>
      </c>
      <c r="J48" s="49" t="str">
        <f>A203</f>
        <v>CCS - Gedeeltelijke CO2-opslag biogene procesemissies, vloeibaar transport, nieuwe vervloeiingsinstallatie, invoedpijplijn ≥ 20 Mton per jaar, gecontracteerde cap. ≤ 35% (art. 79.4.a.4⁰)</v>
      </c>
      <c r="K48" s="49" t="str">
        <f>A204</f>
        <v>CCS - Gedeeltelijke CO2-opslag biogene procesemissies, vloeibaar transport, invoedpijplijn ≥ 20 Mton per jaar, gecontracteerde cap. ≤ 35% (art. 79.4.a.5⁰)</v>
      </c>
      <c r="L48" s="49"/>
      <c r="M48" s="49"/>
      <c r="N48" s="49"/>
      <c r="O48" s="49"/>
      <c r="P48" s="49"/>
      <c r="Q48" s="49"/>
      <c r="R48" s="49"/>
      <c r="S48" s="49"/>
      <c r="T48" s="49"/>
    </row>
    <row r="49" spans="1:23" ht="24.95" customHeight="1" x14ac:dyDescent="0.2">
      <c r="A49" s="42" t="str">
        <f>E14</f>
        <v>CO2-afvang en opslag (CCS) 8.000 uur bij biomassaverbranding, biogene procesemissies en uit omgevingslucht</v>
      </c>
      <c r="B49" s="49" t="str">
        <f>A207</f>
        <v>CCS - Nieuwe post-combustion CO2-afvang, bestaande biomassaverbrandingsinstallatie ≤ 100 MWe, gasvormig transport (art. 79.3.b.1⁰)</v>
      </c>
      <c r="C49" s="81" t="str">
        <f>A208</f>
        <v>CCS - Nieuwe post-combustion CO2-afvang, bestaande biomassaverbrandingsinstallatie ≤ 100 MWe, vloeibaar transport, nieuwe vervloeiingsinstallatie (art. 79.3.b.2⁰)</v>
      </c>
      <c r="D49" s="49" t="str">
        <f>A209</f>
        <v>CCS - Nieuwe post-combustion CO2-afvang, bestaande biomassaverbrandingsinstallatie ≤ 100 MWe of uit omgevingslucht, vloeibaar transport, nieuwe vervloeiingsinstallatie, invoedpijplijn ≥ 20 Mton per jaar, gecontracteerde cap. ≤ 35% (art. 79.3.b.3⁰)</v>
      </c>
      <c r="E49" s="49" t="str">
        <f>A210</f>
        <v>CCS - Nieuwe zuivering biogene CO2-emissie, bestaande installatie, gasvormig transport (art. 79.4.b.1⁰)</v>
      </c>
      <c r="F49" s="49" t="str">
        <f>A211</f>
        <v>CCS - Nieuwe zuivering biogene CO2-emissie, bestaande installatie, vloeibaar transport, nieuwe vervloeiingsinstallatie (art. 79.4.b.2⁰)</v>
      </c>
      <c r="G49" s="49" t="str">
        <f>A212</f>
        <v>CCS - Nieuwe zuivering biogene CO2-emissie, bestaande installatie, vloeibaar transport, nieuwe vervloeiingsinstallatie, invoedpijplijn ≥ 20 Mton per jaar, gecontracteerde cap. ≤ 35% (art. 79.4.b.3⁰)</v>
      </c>
      <c r="H49" s="49" t="str">
        <f>A213</f>
        <v>CCS - Nieuwe zuivering biogene CO2-emissie, nieuwe installatie, gasvormig transport (art. 79.4.c.1⁰)</v>
      </c>
      <c r="I49" s="81" t="str">
        <f>A214</f>
        <v>CCS - Nieuwe zuivering biogene CO2-emissie, nieuwe installatie, vloeibaar transport, nieuwe vervloeiingsinstallatie (art. 79.4.c.2⁰)</v>
      </c>
      <c r="J49" s="49" t="str">
        <f>A215</f>
        <v>CCS - Nieuwe zuivering biogene CO2-emissie, nieuwe installatie, vloeibaar transport, nieuwe vervloeiingsinstallatie, invoedpijplijn ≥ 20 Mton per jaar, gecontracteerde cap. ≤ 35% (art. 79.4.c.3⁰)</v>
      </c>
      <c r="K49" s="49" t="str">
        <f>A216</f>
        <v>CCS - Nieuwe CO2 afvang uit omgevingslucht, gasvormig transport (art. 79.3.c)</v>
      </c>
      <c r="L49" s="49"/>
      <c r="M49" s="49"/>
      <c r="N49" s="49"/>
      <c r="P49" s="49"/>
      <c r="Q49" s="49"/>
      <c r="R49" s="49"/>
      <c r="S49" s="49"/>
      <c r="T49" s="49"/>
    </row>
    <row r="50" spans="1:23" ht="24.95" customHeight="1" x14ac:dyDescent="0.2">
      <c r="A50" s="42" t="str">
        <f>F14</f>
        <v>CO2-afvang en opslag (CCS) 4.000 uur bij afvalverbrandingsinstallaties (AVI's) (combinatie met 4.000 uur CCU mogelijk)</v>
      </c>
      <c r="B50" s="49" t="str">
        <f>A219</f>
        <v>CCS - Gedeeltelijke CO2-opslag bij bestaande afvalverbrandingsinstallaties, gasvormig transport (art. 79.2.a.1⁰)</v>
      </c>
      <c r="C50" s="81" t="str">
        <f>A220</f>
        <v>CCS - Gedeeltelijke CO2-opslag bij bestaande afvalverbrandingsinstallaties, vloeibaar transport, nieuwe vervloeiingsinstallatie (art. 79.2.a.2⁰)</v>
      </c>
      <c r="D50" s="49" t="str">
        <f>A221</f>
        <v>CCS - Gedeeltelijke CO2-opslag bij bestaande afvalverbrandingsinstallaties, vloeibaar transport (art. 79.2.a.3⁰)</v>
      </c>
      <c r="E50" s="49" t="str">
        <f>+A222</f>
        <v>CCS - Gedeeltelijke CO2-opslag bij bestaande afvalverbrandingsinstallaties, vloeibaar transport, nieuwe vervloeiingsinstallatie, invoedpijplijn ≥ 20 Mton per jaar, gecontracteerde cap. ≤ 35% (art. 79.2.a.4⁰)</v>
      </c>
      <c r="F50" s="49" t="str">
        <f>A223</f>
        <v>CCS - Gedeeltelijke CO2-opslag bij bestaande afvalverbrandingsinstallaties, vloeibaar transport, invoedpijplijn ≥ 20 Mton per jaar, gecontracteerde cap. ≤ 35% (art. 79.2.a.5⁰)</v>
      </c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</row>
    <row r="51" spans="1:23" ht="24.95" customHeight="1" x14ac:dyDescent="0.2">
      <c r="A51" s="42" t="str">
        <f>G14</f>
        <v>CO2-afvang en opslag (CCS) 8.000 uur bij afvalverbrandingsinstallaties (AVI's)</v>
      </c>
      <c r="B51" s="49" t="str">
        <f>A226</f>
        <v>CCS - Nieuwe post-combustion CO2-afvang, bestaande afvalverbrandingsinstallatie, gasvormig transport (art. 79.2.b.1⁰)</v>
      </c>
      <c r="C51" s="81" t="str">
        <f>A227</f>
        <v>CCS - Nieuwe post-combustion CO2-afvang, bestaande afvalverbrandingsinstallatie, vloeibaar transport, nieuwe vervloeiingsinstallatie (art. 79.2.b.2⁰)</v>
      </c>
      <c r="D51" s="49" t="str">
        <f>A228</f>
        <v>CCS - Nieuwe post-combustion CO2-afvang, bestaande afvalverbrandingsinstallatie, vloeibaar transport, nieuwe vervloeiingsinstallatie, invoedpijplijn ≥ 20 Mton per jaar, gecontracteerde cap. ≤ 35% (art. 79.2.b.3⁰)</v>
      </c>
      <c r="E51" s="49"/>
      <c r="F51" s="49"/>
      <c r="G51" s="49"/>
      <c r="H51" s="81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</row>
    <row r="52" spans="1:23" ht="24.95" customHeight="1" x14ac:dyDescent="0.2">
      <c r="A52" s="42" t="str">
        <f>H14</f>
        <v>CO2-afvang en opslag (CCS) 4.000 uur bij (industriële) ETS-installaties (combinatie met 4.000 uur CCU mogelijk)</v>
      </c>
      <c r="B52" s="49" t="str">
        <f>A231</f>
        <v>CCS - Gedeeltelijke opslag van niet biogene CO2-procesemissie, gasvormig transport (art. 79.1.a.1⁰)</v>
      </c>
      <c r="C52" s="49" t="str">
        <f>A232</f>
        <v>CCS - Gedeeltelijke opslag van niet biogene CO2-procesemissie, vloeibaar transport, nieuwe vervloeiingsinstallatie (art. 79.1.a.2⁰)</v>
      </c>
      <c r="D52" s="49" t="str">
        <f>A233</f>
        <v>CCS - Gedeeltelijke opslag van niet biogene CO2-procesemissie, vloeibaar transport (art. 79.1.a.3⁰)</v>
      </c>
      <c r="E52" s="49" t="str">
        <f>A234</f>
        <v>CCS - Gedeeltelijke opslag van niet biogene CO2-procesemissie, vloeibaar transport van CO2, nieuwe vervloeiingsinstallatie, invoedpijplijn ≥ 20 Mton per jaar, gecontracteerde cap. ≤ 35% (art. 79.1.a.4⁰)</v>
      </c>
      <c r="F52" s="49" t="str">
        <f>A235</f>
        <v>CCS - Gedeeltelijke opslag van niet biogene CO2-procesemissie, vloeibaar transport van CO2, invoedpijplijn ≥ 20 Mton per jaar, gecontracteerde cap. ≤ 35% (art. 79.1.a.5⁰)</v>
      </c>
      <c r="G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</row>
    <row r="53" spans="1:23" ht="24.95" customHeight="1" x14ac:dyDescent="0.2">
      <c r="A53" s="42" t="str">
        <f>I14</f>
        <v>CO2-afvang en opslag (CCS) 8.000 uur bij (industriële) ETS-installaties</v>
      </c>
      <c r="B53" s="49" t="str">
        <f>A238</f>
        <v>CCS - Volledige CO2-opslag bij bestaande installaties, gasvormig transport (art. 79.1.b.1⁰)</v>
      </c>
      <c r="C53" s="49" t="str">
        <f>A239</f>
        <v xml:space="preserve">CCS - Volledige CO2-opslag bij bestaande installaties, vloeibaar transport, nieuwe vervloeiingsinstallatie (art. 79.1.b.2⁰) </v>
      </c>
      <c r="D53" s="116" t="str">
        <f>A240</f>
        <v>CCS - Volledige CO2 opslag bij bestaande installaties, vloeibaar transport, nieuwe vervloeiingsinstallatie, invoedpijplijn ≥ 20 Mton per jaar, gecontracteerde cap. ≤ 35% (art. 79.1.b.3⁰)</v>
      </c>
      <c r="E53" s="49" t="str">
        <f>A241</f>
        <v>CCS - Nieuwe pre-combustion zuivering van niet biogene CO2-procesemissie, bestaande installatie, gasvormig transport (art. 79.1.c.1⁰)</v>
      </c>
      <c r="F53" s="49" t="str">
        <f>A242</f>
        <v>CCS - Nieuwe pre-combustion zuivering van niet biogene CO2-procesemissie, bestaande installatie, vloeibaar transport, nieuwe vervloeiingsinstallatie (art. 79.1.c.2⁰)</v>
      </c>
      <c r="G53" s="49" t="str">
        <f>A243</f>
        <v>CCS - Nieuwe pre-combustion zuivering van niet biogene CO2-procesemissie, bestaande installatie, vloeibaar transport, nieuwe vervloeiingsinstallatie, invoedpijplijn ≥ 20 Mton per jaar, gecontracteerde cap. ≤ 35% (art. 79.1.c.3⁰)</v>
      </c>
      <c r="H53" s="49" t="str">
        <f>A244</f>
        <v>CCS - Nieuwe pre-combustion CO2-zuivering, nieuwe installatie, gasvormig transport (art. 79.1.g.1⁰)</v>
      </c>
      <c r="I53" s="49" t="str">
        <f>A245</f>
        <v>CCS - Nieuwe pre-combustion CO2-zuivering, nieuwe installatie, vloeibaar transport, nieuwe vervloeiingsinstallatie (art. 79.1.g.2⁰)</v>
      </c>
      <c r="J53" s="49" t="str">
        <f>A246</f>
        <v>CCS - Nieuwe pre-combustion CO2 zuivering, nieuwe installatie, vloeibaar transport, nieuwe vervloeiingsinstallatie, invoedpijplijn ≥ 20 Mton per jaar, gecontracteerde cap. ≤ 35% (art. 79.1.g.3⁰)</v>
      </c>
      <c r="K53" s="49" t="str">
        <f>A247</f>
        <v>CCS - Nieuwe pre-combustion CO2-afvang bij nieuwe waterstofproductie uit restgassen voor ondervuring, gasvormig transport (art. 79.1.d.1⁰)</v>
      </c>
      <c r="L53" s="49" t="str">
        <f>A248</f>
        <v>CCS - Nieuwe pre-combustion CO2-afvang bij nieuwe waterstofproductie uit restgassen voor ondervuring, vloeibaar transport, nieuwe vervloeiingsinstallatie (art. 79.1.d.2⁰)</v>
      </c>
      <c r="M53" s="49" t="str">
        <f>A249</f>
        <v>CCS - Nieuwe pre-combustion CO2 afvang bij nieuwe waterstofproductie uit restgassen voor ondervuring, vloeibaar transport, nieuwe vervloeiingsinstallatie, invoedpijplijn ≥ 20 Mton per jaar, gecontracteerde cap. ≤ 35% (art. 79.1.d.3⁰)</v>
      </c>
      <c r="N53" s="49" t="str">
        <f>A250</f>
        <v>CCS - Nieuwe pre-combustion CO2 afvang bij bestaande waterstofproductie uit restgassen voor ondervuring, gasvormig transport (art. 79.1.e.1⁰)</v>
      </c>
      <c r="O53" s="49" t="str">
        <f>A251</f>
        <v>CCS - Nieuwe pre-combustion CO2 afvang bij bestaande waterstofproductie uit restgassen voor ondervuring, vloeibaar transport, nieuwe vervloeiingsinstallatie (art. 79.1.e.2⁰)</v>
      </c>
      <c r="P53" s="49" t="str">
        <f>A252</f>
        <v>CCS - Nieuwe pre-combustion CO2 afvang bij bestaande waterstofproductie uit restgassen voor ondervuring, vloeibaar transport, nieuwe vervloeiingsinstallatie, invoedpijplijn ≥ 20 Mton per jaar, gecontracteerde cap. ≤ 35% (art. 79.1.e.3⁰)</v>
      </c>
      <c r="Q53" s="49" t="str">
        <f>A253</f>
        <v>CCS - Nieuwe post-combustion CO2-afvang, bestaande installatie, gasvormig transport (art. 79.1.f.1⁰)</v>
      </c>
      <c r="R53" s="49" t="str">
        <f>A254</f>
        <v xml:space="preserve">CCS - Nieuwe post-combustion CO2-afvang, bestaande installatie, vloeibaar transport, nieuwe vervloeiingsinstallatie(art. 79.1.f.2⁰) </v>
      </c>
      <c r="S53" s="49" t="str">
        <f>A255</f>
        <v>CCS - Nieuwe post-combustion CO2 afvang, bestaande installatie, vloeibaar transport, nieuwe vervloeiingsinstallatie, invoedpijplijn ≥ 20 Mton per jaar, gecontracteerde cap. ≤ 35% (art. 79.1.f.3⁰)</v>
      </c>
      <c r="T53" s="49" t="str">
        <f>A256</f>
        <v>CCS - Nieuwe post-combustion CO2-afvang, nieuwe installatie, gasvormig transport (art. 79.1.h.1⁰)</v>
      </c>
      <c r="U53" s="49" t="str">
        <f>A257</f>
        <v>CCS - Nieuwe post-combustion CO2-afvang, nieuwe installatie, vloeibaar transport, nieuwe vervloeiingsinstallatie (art. 79.1.h.2⁰)</v>
      </c>
      <c r="V53" s="49" t="str">
        <f>A258</f>
        <v>CCS - Nieuwe post-combustion CO2 afvang, nieuwe installatie, vloeibaar transport, nieuwe vervloeiingsinstallatie, invoedpijplijn ≥ 20 Mton per jaar, gecontracteerde cap. ≤ 35% (art. 79.1.h.3⁰)</v>
      </c>
      <c r="W53" s="49"/>
    </row>
    <row r="54" spans="1:23" ht="24.95" customHeight="1" x14ac:dyDescent="0.2">
      <c r="A54" s="42" t="str">
        <f>J14</f>
        <v>CO2-afvang en opslag (CCS) 4.000 uur bij (industriële) niet-ETS-installaties (combinatie met 4.000 uur CCU mogelijk)</v>
      </c>
      <c r="B54" s="49" t="str">
        <f>A261</f>
        <v>CCS - Gedeeltelijke opslag niet biogene CO2-emissie bij bestaande of nieuwe installaties niet-ETS-bedrijf, gasvormig transport (art. 81.a.1⁰)</v>
      </c>
      <c r="C54" s="49" t="str">
        <f>A262</f>
        <v>CCS - Gedeeltelijke opslag niet biogene CO2-emissie bij bestaande of nieuwe installaties niet-ETS-bedrijf, vloeibaar transport, nieuwe vervloeiingsinstallatie (art. 81.a.2⁰)</v>
      </c>
      <c r="D54" s="49" t="str">
        <f>A263</f>
        <v>CCS - Gedeeltelijke opslag niet biogene CO2-emissie bij bestaande of nieuwe installaties niet-ETS-bedrijf, vloeibaar transport (art. 81.a.3⁰)</v>
      </c>
      <c r="E54" s="49" t="str">
        <f>A264</f>
        <v>CCS - Gedeeltelijke opslag niet biogene CO2-emissie niet-ETS-bedrijf, vloeibaar transport, nieuwe vervloeiingsinstallatie, invoedpijplijn ≥ 20 Mton per jaar, gecontracteerde cap. ≤ 35% (art. 81.a.4⁰)</v>
      </c>
      <c r="F54" s="49" t="str">
        <f>A265</f>
        <v>CCS - Gedeeltelijke opslag niet biogene CO2-emissie niet-ETS-bedrijf, vloeibaar transport, invoedpijplijn ≥ 20 Mton per jaar, gecontracteerde cap. ≤ 35% (art. 81.a.5⁰)</v>
      </c>
      <c r="G54" s="49"/>
      <c r="H54" s="49"/>
      <c r="K54" s="49"/>
      <c r="L54" s="49"/>
      <c r="M54" s="49"/>
      <c r="N54" s="49"/>
      <c r="O54" s="49"/>
      <c r="P54" s="49"/>
      <c r="Q54" s="49"/>
      <c r="R54" s="49"/>
      <c r="S54" s="49"/>
      <c r="T54" s="49"/>
    </row>
    <row r="55" spans="1:23" ht="24.95" customHeight="1" x14ac:dyDescent="0.2">
      <c r="A55" s="42" t="str">
        <f>K14</f>
        <v>CO2-afvang en opslag (CCS) 8.000 uur bij (industriële) niet-ETS-installaties</v>
      </c>
      <c r="B55" s="49" t="str">
        <f>A268</f>
        <v>CCS - Volledige opslag niet biogene CO2-emissie bij bestaande installaties niet-ETS-bedrijf, gasvormig transport (art. 81.b.1⁰)</v>
      </c>
      <c r="C55" s="49" t="str">
        <f>A269</f>
        <v>CCS - Volledige opslag niet biogene CO2-emissie bij bestaande installaties niet-ETS-bedrijf, vloeibaar transport, nieuwe vervloeiingsinstallatie (art. 81.b.2⁰)</v>
      </c>
      <c r="D55" s="49" t="str">
        <f>A270</f>
        <v>CCS - Volledige opslag niet biogene CO2-emissie bij bestaande installaties niet-ETS-bedrijf, vloeibaar transport, nieuwe vervloeiingsinstallatie, invoedpijplijn ≥ 20 Mton per jaar, gecontracteerde cap. ≤ 35% (art. 81.b.3⁰)</v>
      </c>
      <c r="E55" s="49" t="str">
        <f>A271</f>
        <v>CCS - Nieuwe pre-combustion zuivering niet biogene CO2-emissie, bestaande installatie niet-ETS-bedrijf, gasvormig transport (art. 81.c.1⁰)</v>
      </c>
      <c r="F55" s="49" t="str">
        <f>A272</f>
        <v>CCS - Nieuwe pre-combustion zuivering niet biogene CO2-emissie, bestaande installatie niet-ETS-bedrijf, vloeibaar transport, nieuwe vervloeiingsinstallatie (art. 81.c.2⁰)</v>
      </c>
      <c r="G55" s="49" t="str">
        <f>A273</f>
        <v>CCS - Nieuwe pre-combustion zuivering niet biogene CO2-emissie, bestaande installatie niet-ETS-bedrijf, vloeibaar transport, nieuwe vervloeiingsinstallatie, invoedpijplijn ≥ 20 Mton per jaar, gecontracteerde cap. ≤ 35% (art. 81.c.3⁰)</v>
      </c>
      <c r="H55" s="49" t="str">
        <f>A274</f>
        <v>CCS - Nieuwe pre-combustion zuivering niet biogene CO2-emissie, nieuwe installatie niet-ETS-bedrijf, gasvormig transport (art. 81.g.1⁰)</v>
      </c>
      <c r="I55" s="49" t="str">
        <f>A275</f>
        <v>CCS - Nieuwe pre-combustion zuivering niet biogene CO2-emissie, nieuwe installatie niet-ETS-bedrijf, vloeibaar transport, nieuwe vervloeiingsinstallatie (art. 81.g.2⁰)</v>
      </c>
      <c r="J55" s="49" t="str">
        <f>A276</f>
        <v>CCS - Nieuwe pre-combustion zuivering niet biogene CO2-emissie, nieuwe installatie niet-ETS-bedrijf, vloeibaar transport, nieuwe vervloeiingsinstallatie, invoedpijplijn ≥ 20 Mton per jaar, gecontracteerde cap. ≤ 35% (art. 81.g.3⁰)</v>
      </c>
      <c r="K55" s="49" t="str">
        <f>A277</f>
        <v>CCS - Nieuwe pre-combustion CO2-afvang bij nieuwe waterstofproductie uit restgassen voor ondervuring niet-ETS-bedrijf, gasvormig transport (art. 81.d.1⁰)</v>
      </c>
      <c r="L55" s="49" t="str">
        <f>A278</f>
        <v>CCS - Nieuwe pre-combustion CO2-afvang bij nieuwe waterstofproductie uit restgassen voor ondervuring niet-ETS-bedrijf, vloeibaar transport, nieuwe vervloeiingsinstallatie (art. 81.d.2⁰)</v>
      </c>
      <c r="M55" s="49" t="str">
        <f>A279</f>
        <v>CCS - Nieuwe pre-combustion CO2-afvang bij nieuwe waterstofproductie uit restgassen voor ondervuring niet-ETS-bedrijf, vloeibaar transport, nieuwe vervloeiingsinstallatie, invoedpijplijn ≥ 20 Mton per jaar, gecontracteerde cap. ≤ 35% (art. 81.d.3⁰)</v>
      </c>
      <c r="N55" s="49" t="str">
        <f>A280</f>
        <v>CCS - Nieuwe pre-combustion CO2-afvang bij bestaande waterstofproductie uit restgassen voor ondervuring niet-ETS-bedrijf, gasvormig transport (art. 81.e.1⁰)</v>
      </c>
      <c r="O55" s="49" t="str">
        <f>A281</f>
        <v>CCS - Nieuwe pre-combustion CO2-afvang bij bestaande waterstofproductie uit restgassen voor ondervuring niet-ETS-bedrijf, vloeibaar transport, nieuwe vervloeiingsinstallatie (art. 81.e.2⁰)</v>
      </c>
      <c r="P55" s="49" t="str">
        <f>A282</f>
        <v>CCS - Nieuwe pre-combustion CO2-afvang bij bestaande waterstofproductie uit restgassen voor ondervuring niet-ETS-bedrijf, vloeibaar transport, nieuwe vervloeiingsinstallatie, invoedpijplijn ≥ 20 Mton per jaar, gecontracteerde cap. ≤ 35% (art. 81.e.3⁰)</v>
      </c>
      <c r="Q55" s="49" t="str">
        <f>A283</f>
        <v>CCS - Nieuwe post-combustion CO2-afvang, bestaande installatie niet-ETS-bedrijf, gasvormig transport (art. 81.f.1⁰)</v>
      </c>
      <c r="R55" s="49" t="str">
        <f>A284</f>
        <v>CCS - Nieuwe post-combustion CO2-afvang, bestaande installatie niet-ETS-bedrijf, vloeibaar transport, nieuwe vervloeiingsinstallatie (art. 81.f.2⁰)</v>
      </c>
      <c r="S55" s="49" t="str">
        <f>A285</f>
        <v>CCS - Nieuwe post-combustion CO2-afvang, bestaande installatie niet-ETS-bedrijf, vloeibaar transport, nieuwe vervloeiingsinstallatie, invoedpijplijn ≥ 20 Mton per jaar, gecontracteerde cap. ≤ 35% (art. 81.f.3⁰)</v>
      </c>
      <c r="T55" s="49" t="str">
        <f>A286</f>
        <v>CCS - Nieuwe post-combustion CO2-afvang, nieuwe installatie niet-ETS-bedrijf, gasvormig transport (art. 81.h.1⁰)</v>
      </c>
      <c r="U55" s="49" t="str">
        <f>A287</f>
        <v>CCS - Nieuwe post-combustion CO2-afvang, nieuwe installatie niet-ETS-bedrijf, vloeibaar transport, nieuwe vervloeiingsinstallatie (art. 81.h.2⁰)</v>
      </c>
      <c r="V55" s="49" t="str">
        <f>A288</f>
        <v>CCS - Nieuwe post-combustion CO2-afvang, nieuwe installatie niet-ETS-bedrijf, vloeibaar transport, nieuwe vervloeiingsinstallatie, invoedpijplijn ≥ 20 Mton per jaar, gecontracteerde cap. ≤ 35% (art. 81.h.3⁰)</v>
      </c>
    </row>
    <row r="56" spans="1:23" ht="24.95" customHeight="1" x14ac:dyDescent="0.2">
      <c r="A56" s="42" t="str">
        <f>L14</f>
        <v>CO2-afvang en gebruik (CCU) 4.000 uur, gasvormig (transport)</v>
      </c>
      <c r="B56" s="49" t="str">
        <f>A291</f>
        <v>CCU - Nieuwe pre-combustion CO2-zuivering, bestaande of nieuwe installatie, gasvormig transport (art. 83.1.a.1⁰)</v>
      </c>
      <c r="C56" s="49" t="str">
        <f>A292</f>
        <v>CCU - Nieuwe pre-combustion CO2-zuivering, bestaande of nieuwe installatie, gasvormig transport, nieuwe transportleiding (art. 83.1.a.2⁰)</v>
      </c>
      <c r="D56" s="49" t="str">
        <f>A293</f>
        <v>CCU - Nieuwe post-combustion CO2-afvang, bestaande installatie, gasvormig transport (art. 83.1.c.1⁰)</v>
      </c>
      <c r="E56" s="49" t="str">
        <f>A294</f>
        <v>CCU - Nieuwe post-combustion CO2-afvang, bestaande installatie, gasvormig transport, nieuwe transportleiding (art. 83.1.c.2⁰)</v>
      </c>
      <c r="F56" s="49" t="str">
        <f>A295</f>
        <v>CCU - Nieuwe post-combustion CO2-afvang, nieuwe installatie, gasvormig transport (art. 83.1.d.1⁰)</v>
      </c>
      <c r="G56" s="49" t="str">
        <f>A296</f>
        <v>CCU - Nieuwe post-combustion CO2-afvang, nieuwe installatie, gasvormig transport, nieuwe transportleiding (art. 83.1.d.2⁰)</v>
      </c>
      <c r="H56" s="49" t="str">
        <f>A297</f>
        <v>CCU - Nieuwe post-combustion CO2-afvang bij bestaande afvalverbrandingsinstallatie of bestaande biomassaverbrandingsinstallatie &gt; 50 MWth, gasvormig transport (art. 83.1.e.1⁰)</v>
      </c>
      <c r="I56" s="49" t="str">
        <f>A298</f>
        <v>CCU - Nieuwe post-combustion CO2-afvang bij bestaande afvalverbrandingsinstallatie of bestaande biomassaverbrandingsinstallatie &gt; 50 MWth, gasvormig transport, nieuwe transportleiding (art. 83.1.e.2⁰)</v>
      </c>
      <c r="J56" s="49" t="str">
        <f>A299</f>
        <v>CCU - Nieuwe post-combustion CO₂-afvang bij biomassaverbrandingsinstallatie ≤ 50 MWth, gasvormig (art. 83.1.f.1⁰)</v>
      </c>
      <c r="Q56" s="49"/>
      <c r="R56" s="49"/>
      <c r="S56" s="49"/>
      <c r="T56" s="49"/>
    </row>
    <row r="57" spans="1:23" ht="24.95" customHeight="1" x14ac:dyDescent="0.2">
      <c r="A57" s="42" t="str">
        <f>M14</f>
        <v>CO2-afvang en gebruik (CCU) 4.000 uur, vloeibaar (transport)</v>
      </c>
      <c r="B57" s="49" t="str">
        <f>A302</f>
        <v>CCU - Nieuwe pre-combustion CO2-zuivering, bestaande of nieuwe installatie, vloeibaar transport, nieuwe vervloeiingsinstallatie (art. 83.1.a.3⁰)</v>
      </c>
      <c r="C57" s="49" t="str">
        <f>A303</f>
        <v>Extra CCU - Bestaande CO2-afvang, bestaande installatie, vloeibaar transport, nieuwe vervloeiingsinstallatie (art. 83.1.b)</v>
      </c>
      <c r="D57" s="49" t="str">
        <f>A304</f>
        <v>CCU - Nieuwe post-combustion CO2-afvang, bestaande installatie, vloeibaar transport, nieuwe vervloeiingsinstallatie (art. 83.1.c.3⁰)</v>
      </c>
      <c r="E57" s="49" t="str">
        <f>A305</f>
        <v>CCU - Nieuwe post-combustion CO2-afvang, nieuwe installatie, vloeibaar transport, nieuwe vervloeiingsinstallatie (art. 83.1.d.3⁰)</v>
      </c>
      <c r="F57" s="49" t="str">
        <f>A306</f>
        <v>CCU - Nieuwe post-combustion CO2-afvang bij bestaande afvalverbrandingsinstallatie of bestaande biomassaverbrandingsinstallatie &gt; 50 MWth, vloeibaar transport, nieuwe vervloeiingsinstallatie (art. 83.1.e.3⁰)</v>
      </c>
      <c r="G57" s="49" t="str">
        <f>A307</f>
        <v>CCU - Nieuwe post-combustion CO₂-afvang bij biomassaverbrandingsinstallatie ≤ 50 MWth, vloeibaar, nieuwe vervloeiingsinstallatie (art. 83.1.f.2⁰)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</row>
    <row r="58" spans="1:23" ht="24.95" customHeight="1" x14ac:dyDescent="0.2">
      <c r="A58" s="42" t="str">
        <f>N14</f>
        <v>CO2-afvang en gebruik (CCU) 4.000 uur, direct aircapture</v>
      </c>
      <c r="B58" s="49" t="str">
        <f>A310</f>
        <v>CCU - CO2 afvang uit omgevingslucht voor gebruik in tuinbouwkassen (art. 85.1)</v>
      </c>
      <c r="C58" s="49"/>
      <c r="D58" s="49"/>
      <c r="E58" s="49"/>
      <c r="F58" s="49"/>
      <c r="G58" s="49"/>
      <c r="H58" s="49"/>
      <c r="K58" s="49"/>
      <c r="L58" s="49"/>
      <c r="M58" s="49"/>
      <c r="N58" s="49"/>
      <c r="O58" s="49"/>
      <c r="P58" s="49"/>
      <c r="Q58" s="49"/>
      <c r="R58" s="49"/>
      <c r="S58" s="49"/>
      <c r="T58" s="49"/>
    </row>
    <row r="59" spans="1:23" ht="24.95" customHeight="1" x14ac:dyDescent="0.2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</row>
    <row r="60" spans="1:23" ht="37.5" customHeight="1" x14ac:dyDescent="0.2">
      <c r="A60" s="102" t="str">
        <f>VLOOKUP($D$29,A$31:$Z$58,2,FALSE)</f>
        <v>Wind op land ≥ 8,0 m/s</v>
      </c>
      <c r="B60" s="102">
        <v>1</v>
      </c>
      <c r="C60" s="104" t="str">
        <f t="shared" ref="C60:C76" si="1">IF(A60=0,"",A60)</f>
        <v>Wind op land ≥ 8,0 m/s</v>
      </c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</row>
    <row r="61" spans="1:23" ht="43.5" customHeight="1" x14ac:dyDescent="0.2">
      <c r="A61" s="102" t="str">
        <f>VLOOKUP($D$29,A$31:$Z$58,3,FALSE)</f>
        <v>Wind op land ≥ 7,5 en &lt; 8,0 m/s</v>
      </c>
      <c r="B61" s="102">
        <v>2</v>
      </c>
      <c r="C61" s="104" t="str">
        <f t="shared" si="1"/>
        <v>Wind op land ≥ 7,5 en &lt; 8,0 m/s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</row>
    <row r="62" spans="1:23" ht="24.95" customHeight="1" x14ac:dyDescent="0.2">
      <c r="A62" s="102" t="str">
        <f>VLOOKUP($D$29,A$31:$Z$58,4,FALSE)</f>
        <v>Wind op land ≥ 7,0 en &lt; 7,5 m/s</v>
      </c>
      <c r="B62" s="102">
        <v>3</v>
      </c>
      <c r="C62" s="104" t="str">
        <f t="shared" si="1"/>
        <v>Wind op land ≥ 7,0 en &lt; 7,5 m/s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</row>
    <row r="63" spans="1:23" ht="24.95" customHeight="1" x14ac:dyDescent="0.2">
      <c r="A63" s="102" t="str">
        <f>VLOOKUP($D$29,A$31:$Z$58,5,FALSE)</f>
        <v>Wind op land ≥ 6,75 en &lt; 7,0 m/s</v>
      </c>
      <c r="B63" s="102">
        <v>4</v>
      </c>
      <c r="C63" s="104" t="str">
        <f t="shared" si="1"/>
        <v>Wind op land ≥ 6,75 en &lt; 7,0 m/s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</row>
    <row r="64" spans="1:23" ht="24.95" customHeight="1" x14ac:dyDescent="0.2">
      <c r="A64" s="102" t="str">
        <f>VLOOKUP($D$29,A$31:$Z$58,6,FALSE)</f>
        <v>Wind op land &lt; 6,75 m/s</v>
      </c>
      <c r="B64" s="102">
        <v>5</v>
      </c>
      <c r="C64" s="104" t="str">
        <f t="shared" si="1"/>
        <v>Wind op land &lt; 6,75 m/s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</row>
    <row r="65" spans="1:20" ht="24.95" customHeight="1" x14ac:dyDescent="0.2">
      <c r="A65" s="102" t="str">
        <f>VLOOKUP($D$29,A$31:$Z$58,7,FALSE)</f>
        <v>Wind op land, hoogtebeperkt ≥ 8,0 m/s</v>
      </c>
      <c r="B65" s="102">
        <v>6</v>
      </c>
      <c r="C65" s="104" t="str">
        <f t="shared" si="1"/>
        <v>Wind op land, hoogtebeperkt ≥ 8,0 m/s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</row>
    <row r="66" spans="1:20" ht="24.95" customHeight="1" x14ac:dyDescent="0.2">
      <c r="A66" s="102" t="str">
        <f>VLOOKUP($D$29,A$31:$Z$58,8,FALSE)</f>
        <v>Wind op land, hoogtebeperkt ≥ 7,5 en &lt; 8,0 m/s</v>
      </c>
      <c r="B66" s="102">
        <v>7</v>
      </c>
      <c r="C66" s="104" t="str">
        <f t="shared" si="1"/>
        <v>Wind op land, hoogtebeperkt ≥ 7,5 en &lt; 8,0 m/s</v>
      </c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</row>
    <row r="67" spans="1:20" ht="24.95" customHeight="1" x14ac:dyDescent="0.2">
      <c r="A67" s="102" t="str">
        <f>VLOOKUP($D$29,A$31:$Z$58,9,FALSE)</f>
        <v>Wind op land, hoogtebeperkt ≥ 7,0 en &lt; 7,5 m/s</v>
      </c>
      <c r="B67" s="102">
        <v>8</v>
      </c>
      <c r="C67" s="104" t="str">
        <f t="shared" si="1"/>
        <v>Wind op land, hoogtebeperkt ≥ 7,0 en &lt; 7,5 m/s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</row>
    <row r="68" spans="1:20" ht="24.95" customHeight="1" x14ac:dyDescent="0.2">
      <c r="A68" s="102" t="str">
        <f>VLOOKUP($D$29,A$31:$Z$58,10,FALSE)</f>
        <v>Wind op land, hoogtebeperkt ≥ 6,75 en &lt; 7,0 m/s</v>
      </c>
      <c r="B68" s="102">
        <v>9</v>
      </c>
      <c r="C68" s="104" t="str">
        <f t="shared" si="1"/>
        <v>Wind op land, hoogtebeperkt ≥ 6,75 en &lt; 7,0 m/s</v>
      </c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</row>
    <row r="69" spans="1:20" ht="24.95" customHeight="1" x14ac:dyDescent="0.2">
      <c r="A69" s="102" t="str">
        <f>VLOOKUP($D$29,A$31:$Z$58,11,FALSE)</f>
        <v>Wind op land, hoogtebeperkt &lt; 6,75 m/s</v>
      </c>
      <c r="B69" s="102">
        <v>10</v>
      </c>
      <c r="C69" s="104" t="str">
        <f t="shared" si="1"/>
        <v>Wind op land, hoogtebeperkt &lt; 6,75 m/s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</row>
    <row r="70" spans="1:20" ht="24.95" customHeight="1" x14ac:dyDescent="0.2">
      <c r="A70" s="102" t="str">
        <f>VLOOKUP($D$29,A$31:$Z$58,12,FALSE)</f>
        <v>Wind op waterkering ≥ 8,0 m/s</v>
      </c>
      <c r="B70" s="102">
        <v>11</v>
      </c>
      <c r="C70" s="104" t="str">
        <f t="shared" si="1"/>
        <v>Wind op waterkering ≥ 8,0 m/s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</row>
    <row r="71" spans="1:20" ht="24.95" customHeight="1" x14ac:dyDescent="0.2">
      <c r="A71" s="102" t="str">
        <f>VLOOKUP($D$29,A$31:$Z$58,13,FALSE)</f>
        <v>Wind op waterkering ≥ 7,5 en &lt; 8,0 m/s</v>
      </c>
      <c r="B71" s="102">
        <v>12</v>
      </c>
      <c r="C71" s="104" t="str">
        <f t="shared" si="1"/>
        <v>Wind op waterkering ≥ 7,5 en &lt; 8,0 m/s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</row>
    <row r="72" spans="1:20" ht="24.95" customHeight="1" x14ac:dyDescent="0.2">
      <c r="A72" s="102" t="str">
        <f>VLOOKUP($D$29,A$31:$Z$58,14,FALSE)</f>
        <v>Wind op waterkering ≥ 7,0 en &lt; 7,5 m/s</v>
      </c>
      <c r="B72" s="102">
        <v>13</v>
      </c>
      <c r="C72" s="104" t="str">
        <f t="shared" si="1"/>
        <v>Wind op waterkering ≥ 7,0 en &lt; 7,5 m/s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</row>
    <row r="73" spans="1:20" ht="24.95" customHeight="1" x14ac:dyDescent="0.2">
      <c r="A73" s="102" t="str">
        <f>VLOOKUP($D$29,A$31:$Z$58,15,FALSE)</f>
        <v>Wind op waterkering ≥ 6,75 en &lt; 7,0 m/s</v>
      </c>
      <c r="B73" s="102">
        <v>14</v>
      </c>
      <c r="C73" s="104" t="str">
        <f t="shared" si="1"/>
        <v>Wind op waterkering ≥ 6,75 en &lt; 7,0 m/s</v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</row>
    <row r="74" spans="1:20" ht="24.95" customHeight="1" x14ac:dyDescent="0.2">
      <c r="A74" s="102" t="str">
        <f>VLOOKUP($D$29,A$31:$Z$58,16,FALSE)</f>
        <v>Wind op waterkering &lt; 6,75 m/s</v>
      </c>
      <c r="B74" s="102">
        <v>15</v>
      </c>
      <c r="C74" s="104" t="str">
        <f t="shared" si="1"/>
        <v>Wind op waterkering &lt; 6,75 m/s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</row>
    <row r="75" spans="1:20" ht="24.95" customHeight="1" x14ac:dyDescent="0.2">
      <c r="A75" s="102">
        <f>VLOOKUP($D$29,A$31:$Z$58,17,FALSE)</f>
        <v>0</v>
      </c>
      <c r="B75" s="102">
        <v>16</v>
      </c>
      <c r="C75" s="104" t="str">
        <f t="shared" si="1"/>
        <v/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</row>
    <row r="76" spans="1:20" ht="24.95" customHeight="1" x14ac:dyDescent="0.2">
      <c r="A76" s="102">
        <f>VLOOKUP($D$29,A$31:$Z$58,18,FALSE)</f>
        <v>0</v>
      </c>
      <c r="B76" s="102">
        <v>17</v>
      </c>
      <c r="C76" s="104" t="str">
        <f t="shared" si="1"/>
        <v/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</row>
    <row r="77" spans="1:20" ht="24.95" customHeight="1" x14ac:dyDescent="0.2">
      <c r="A77" s="102">
        <f>VLOOKUP($D$29,A$31:$Z$58,19,FALSE)</f>
        <v>0</v>
      </c>
      <c r="B77" s="102">
        <v>18</v>
      </c>
      <c r="C77" s="104" t="str">
        <f>IF(A77=0,"",A77)</f>
        <v/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</row>
    <row r="78" spans="1:20" ht="24.95" customHeight="1" x14ac:dyDescent="0.2">
      <c r="A78" s="102">
        <f>VLOOKUP($D$29,A$31:$Z$58,20,FALSE)</f>
        <v>0</v>
      </c>
      <c r="B78" s="102">
        <v>19</v>
      </c>
      <c r="C78" s="104" t="str">
        <f>IF(A78=0,"",A78)</f>
        <v/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</row>
    <row r="79" spans="1:20" ht="24.95" customHeight="1" x14ac:dyDescent="0.2">
      <c r="A79" s="102">
        <f>VLOOKUP($D$29,A$31:$Z$58,21,FALSE)</f>
        <v>0</v>
      </c>
      <c r="B79" s="102">
        <v>20</v>
      </c>
      <c r="C79" s="104" t="str">
        <f>IF(A79=0,"",A79)</f>
        <v/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</row>
    <row r="80" spans="1:20" ht="24.95" customHeight="1" x14ac:dyDescent="0.2">
      <c r="A80" s="102">
        <f>VLOOKUP($D$29,A$31:$Z$58,22,FALSE)</f>
        <v>0</v>
      </c>
      <c r="B80" s="102">
        <v>21</v>
      </c>
      <c r="C80" s="104" t="str">
        <f>IF(A80=0,"",A80)</f>
        <v/>
      </c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</row>
    <row r="81" spans="1:35" ht="24.95" customHeight="1" x14ac:dyDescent="0.2">
      <c r="A81" s="102">
        <f>VLOOKUP($D$29,A$31:$Z$58,23,FALSE)</f>
        <v>0</v>
      </c>
      <c r="B81" s="102">
        <v>22</v>
      </c>
      <c r="C81" s="104" t="str">
        <f>IF(A81=0,"",A81)</f>
        <v/>
      </c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</row>
    <row r="82" spans="1:35" ht="36.75" customHeight="1" x14ac:dyDescent="0.2">
      <c r="A82" s="36" t="s">
        <v>147</v>
      </c>
      <c r="C82" s="50">
        <v>1</v>
      </c>
      <c r="D82" s="50" t="str">
        <f>VLOOKUP(C82,B60:C81,2,FALSE)</f>
        <v>Wind op land ≥ 8,0 m/s</v>
      </c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</row>
    <row r="83" spans="1:35" ht="12.75" customHeight="1" x14ac:dyDescent="0.2">
      <c r="B83" s="36"/>
    </row>
    <row r="84" spans="1:35" ht="12.75" customHeight="1" x14ac:dyDescent="0.2">
      <c r="B84" s="36"/>
    </row>
    <row r="85" spans="1:35" ht="99" customHeight="1" x14ac:dyDescent="0.3">
      <c r="A85" s="89" t="s">
        <v>1</v>
      </c>
      <c r="B85" s="90" t="s">
        <v>148</v>
      </c>
      <c r="C85" s="131" t="s">
        <v>18</v>
      </c>
      <c r="D85" s="90" t="s">
        <v>200</v>
      </c>
      <c r="E85" s="90" t="s">
        <v>68</v>
      </c>
      <c r="F85" s="90" t="s">
        <v>23</v>
      </c>
      <c r="G85" s="90"/>
      <c r="H85" s="132"/>
      <c r="I85" s="133" t="s">
        <v>55</v>
      </c>
      <c r="J85" s="132"/>
      <c r="K85" s="90" t="s">
        <v>148</v>
      </c>
      <c r="L85" s="90" t="s">
        <v>69</v>
      </c>
      <c r="M85" s="131" t="s">
        <v>111</v>
      </c>
      <c r="N85" s="133" t="s">
        <v>101</v>
      </c>
      <c r="O85" s="133" t="s">
        <v>107</v>
      </c>
      <c r="P85" s="131" t="s">
        <v>145</v>
      </c>
      <c r="Q85" s="135"/>
      <c r="R85" s="134"/>
      <c r="S85" s="134"/>
      <c r="T85" s="134"/>
      <c r="U85" s="134"/>
      <c r="V85" s="135"/>
      <c r="W85" s="135"/>
      <c r="X85" s="135"/>
      <c r="Z85" s="125" t="s">
        <v>201</v>
      </c>
      <c r="AA85" s="126" t="s">
        <v>202</v>
      </c>
      <c r="AC85" s="127"/>
      <c r="AD85" s="105"/>
      <c r="AE85" s="105"/>
      <c r="AF85" s="105"/>
      <c r="AG85" s="105"/>
      <c r="AH85" s="105"/>
      <c r="AI85" s="105"/>
    </row>
    <row r="86" spans="1:35" ht="84.75" customHeight="1" x14ac:dyDescent="0.25">
      <c r="A86" s="85"/>
      <c r="B86" s="85"/>
      <c r="C86" s="86" t="s">
        <v>149</v>
      </c>
      <c r="D86" s="85"/>
      <c r="E86" s="85"/>
      <c r="F86" s="85"/>
      <c r="G86" s="85" t="s">
        <v>123</v>
      </c>
      <c r="H86" s="85" t="s">
        <v>124</v>
      </c>
      <c r="I86" s="85" t="s">
        <v>125</v>
      </c>
      <c r="J86" s="85" t="s">
        <v>100</v>
      </c>
      <c r="K86" s="85" t="s">
        <v>148</v>
      </c>
      <c r="L86" s="85" t="s">
        <v>69</v>
      </c>
      <c r="M86" s="85"/>
      <c r="N86" s="79" t="s">
        <v>102</v>
      </c>
      <c r="O86" s="79" t="s">
        <v>108</v>
      </c>
      <c r="P86" s="85"/>
      <c r="Q86" s="135"/>
      <c r="V86" s="49"/>
      <c r="W86" s="135"/>
      <c r="X86" s="135"/>
      <c r="Z86" s="85"/>
      <c r="AA86" s="85"/>
      <c r="AC86" s="49"/>
    </row>
    <row r="87" spans="1:35" x14ac:dyDescent="0.2">
      <c r="A87" s="88" t="s">
        <v>126</v>
      </c>
      <c r="B87" s="106"/>
      <c r="C87" s="107"/>
      <c r="D87" s="107"/>
      <c r="E87" s="107"/>
      <c r="F87" s="85"/>
      <c r="G87" s="85"/>
      <c r="H87" s="85"/>
      <c r="I87" s="85"/>
      <c r="J87" s="85"/>
      <c r="K87" s="85"/>
      <c r="L87" s="85"/>
      <c r="M87" s="85"/>
      <c r="N87" s="79"/>
      <c r="O87" s="85"/>
      <c r="P87" s="85"/>
      <c r="Z87" s="85"/>
      <c r="AA87" s="85"/>
    </row>
    <row r="88" spans="1:35" x14ac:dyDescent="0.2">
      <c r="A88" s="85" t="s">
        <v>33</v>
      </c>
      <c r="B88" s="108">
        <v>0.1133</v>
      </c>
      <c r="C88" s="93">
        <v>4.7899999999999998E-2</v>
      </c>
      <c r="D88" s="77">
        <v>7.6399999999999996E-2</v>
      </c>
      <c r="E88" s="77">
        <v>0.1804</v>
      </c>
      <c r="F88" s="109">
        <f t="shared" ref="F88:F94" si="2">(B88-D88)*1000/E88</f>
        <v>204.54545454545456</v>
      </c>
      <c r="G88" s="93">
        <f t="shared" ref="G88:G94" si="3">MIN($B88,(75*$E88/1000)+$D88)</f>
        <v>8.9929999999999996E-2</v>
      </c>
      <c r="H88" s="93">
        <f t="shared" ref="H88:H94" si="4">MIN($B88,(150*$E88/1000)+$D88)</f>
        <v>0.10346</v>
      </c>
      <c r="I88" s="93">
        <f t="shared" ref="I88:I94" si="5">MIN($B88,(225*$E88/1000)+$D88)</f>
        <v>0.1133</v>
      </c>
      <c r="J88" s="93">
        <f t="shared" ref="J88:J94" si="6">MIN($B88,(300*$E88/1000)+$D88)</f>
        <v>0.1133</v>
      </c>
      <c r="K88" s="85">
        <v>0.1133</v>
      </c>
      <c r="L88" s="85" t="s">
        <v>70</v>
      </c>
      <c r="M88" s="136"/>
      <c r="N88" s="79" t="str">
        <f>IF(M88="","Nee","Ja")</f>
        <v>Nee</v>
      </c>
      <c r="O88" s="79">
        <f>IF(N88="Nee",300,400)</f>
        <v>300</v>
      </c>
      <c r="P88" s="115">
        <f>ROUND(((B88-D88)*1000/E88),3)</f>
        <v>204.54499999999999</v>
      </c>
      <c r="Z88" s="85" t="str">
        <f>IF([1]Productie_en_afzet!$D$17&gt;=1.5,"Indien het nominaal thermisch ingangsvermogen van de installatie ≥ 2 MW is, gelden er duurzaamheidseisen voor de ingezette biomassa!","")</f>
        <v/>
      </c>
      <c r="AA88" s="85">
        <v>12</v>
      </c>
    </row>
    <row r="89" spans="1:35" x14ac:dyDescent="0.2">
      <c r="A89" s="85" t="s">
        <v>128</v>
      </c>
      <c r="B89" s="108">
        <v>9.6299999999999997E-2</v>
      </c>
      <c r="C89" s="93">
        <v>4.7899999999999998E-2</v>
      </c>
      <c r="D89" s="77">
        <v>7.6399999999999996E-2</v>
      </c>
      <c r="E89" s="77">
        <v>0.1804</v>
      </c>
      <c r="F89" s="109">
        <f t="shared" si="2"/>
        <v>110.31042128603104</v>
      </c>
      <c r="G89" s="93">
        <f t="shared" si="3"/>
        <v>8.9929999999999996E-2</v>
      </c>
      <c r="H89" s="93">
        <f t="shared" si="4"/>
        <v>9.6299999999999997E-2</v>
      </c>
      <c r="I89" s="93">
        <f t="shared" si="5"/>
        <v>9.6299999999999997E-2</v>
      </c>
      <c r="J89" s="93">
        <f t="shared" si="6"/>
        <v>9.6299999999999997E-2</v>
      </c>
      <c r="K89" s="85">
        <v>9.6299999999999997E-2</v>
      </c>
      <c r="L89" s="85" t="s">
        <v>70</v>
      </c>
      <c r="M89" s="136"/>
      <c r="N89" s="79" t="str">
        <f t="shared" ref="N89:N154" si="7">IF(M89="","Nee","Ja")</f>
        <v>Nee</v>
      </c>
      <c r="O89" s="79">
        <f t="shared" ref="O89:O154" si="8">IF(N89="Nee",300,400)</f>
        <v>300</v>
      </c>
      <c r="P89" s="115">
        <f t="shared" ref="P89:P154" si="9">ROUND(((B89-D89)*1000/E89),3)</f>
        <v>110.31</v>
      </c>
      <c r="Z89" s="85" t="str">
        <f>IF([1]Productie_en_afzet!$D$17&gt;=1.5,"Indien het nominaal thermisch ingangsvermogen van de installatie ≥ 2 MW is, gelden er duurzaamheidseisen voor de ingezette biomassa!","")</f>
        <v/>
      </c>
      <c r="AA89" s="85">
        <v>12</v>
      </c>
    </row>
    <row r="90" spans="1:35" x14ac:dyDescent="0.2">
      <c r="A90" s="85" t="s">
        <v>127</v>
      </c>
      <c r="B90" s="108">
        <v>0.35799999999999998</v>
      </c>
      <c r="C90" s="91">
        <v>6.6500000000000004E-2</v>
      </c>
      <c r="D90" s="77">
        <v>9.7099999999999992E-2</v>
      </c>
      <c r="E90" s="77">
        <v>0.86950000000000005</v>
      </c>
      <c r="F90" s="109">
        <f t="shared" si="2"/>
        <v>300.05750431282348</v>
      </c>
      <c r="G90" s="93">
        <f t="shared" si="3"/>
        <v>0.1623125</v>
      </c>
      <c r="H90" s="93">
        <f t="shared" si="4"/>
        <v>0.22752500000000001</v>
      </c>
      <c r="I90" s="93">
        <f t="shared" si="5"/>
        <v>0.29273749999999998</v>
      </c>
      <c r="J90" s="93">
        <f t="shared" si="6"/>
        <v>0.35794999999999999</v>
      </c>
      <c r="K90" s="85">
        <v>0.35799999999999998</v>
      </c>
      <c r="L90" s="85" t="s">
        <v>70</v>
      </c>
      <c r="M90" s="136"/>
      <c r="N90" s="79" t="str">
        <f t="shared" si="7"/>
        <v>Nee</v>
      </c>
      <c r="O90" s="79">
        <f t="shared" si="8"/>
        <v>300</v>
      </c>
      <c r="P90" s="115">
        <f t="shared" si="9"/>
        <v>300.05799999999999</v>
      </c>
      <c r="Z90" s="85" t="str">
        <f>""</f>
        <v/>
      </c>
      <c r="AA90" s="85">
        <v>12</v>
      </c>
    </row>
    <row r="91" spans="1:35" x14ac:dyDescent="0.2">
      <c r="A91" s="85" t="s">
        <v>203</v>
      </c>
      <c r="B91" s="108">
        <v>0.28839999999999999</v>
      </c>
      <c r="C91" s="91">
        <v>6.8599999999999994E-2</v>
      </c>
      <c r="D91" s="77">
        <v>9.8599999999999993E-2</v>
      </c>
      <c r="E91" s="77">
        <v>0.79020000000000001</v>
      </c>
      <c r="F91" s="109">
        <f t="shared" si="2"/>
        <v>240.19235636547708</v>
      </c>
      <c r="G91" s="93">
        <f t="shared" si="3"/>
        <v>0.15786499999999998</v>
      </c>
      <c r="H91" s="93">
        <f t="shared" si="4"/>
        <v>0.21712999999999999</v>
      </c>
      <c r="I91" s="93">
        <f t="shared" si="5"/>
        <v>0.276395</v>
      </c>
      <c r="J91" s="93">
        <f t="shared" si="6"/>
        <v>0.28839999999999999</v>
      </c>
      <c r="K91" s="85">
        <v>0.28839999999999999</v>
      </c>
      <c r="L91" s="85" t="s">
        <v>70</v>
      </c>
      <c r="M91" s="136"/>
      <c r="N91" s="79" t="str">
        <f t="shared" si="7"/>
        <v>Nee</v>
      </c>
      <c r="O91" s="79">
        <f t="shared" si="8"/>
        <v>300</v>
      </c>
      <c r="P91" s="115">
        <f t="shared" si="9"/>
        <v>240.19200000000001</v>
      </c>
      <c r="Z91" s="85"/>
      <c r="AA91" s="85">
        <v>12</v>
      </c>
    </row>
    <row r="92" spans="1:35" x14ac:dyDescent="0.2">
      <c r="A92" s="85" t="s">
        <v>150</v>
      </c>
      <c r="B92" s="110">
        <v>0.1744</v>
      </c>
      <c r="C92" s="91">
        <v>4.8300000000000003E-2</v>
      </c>
      <c r="D92" s="77">
        <v>7.8999999999999987E-2</v>
      </c>
      <c r="E92" s="77">
        <v>0.42109999999999997</v>
      </c>
      <c r="F92" s="109">
        <f t="shared" si="2"/>
        <v>226.5495131797673</v>
      </c>
      <c r="G92" s="93">
        <f t="shared" si="3"/>
        <v>0.11058249999999999</v>
      </c>
      <c r="H92" s="93">
        <f t="shared" si="4"/>
        <v>0.14216499999999999</v>
      </c>
      <c r="I92" s="93">
        <f t="shared" si="5"/>
        <v>0.17374749999999997</v>
      </c>
      <c r="J92" s="93">
        <f t="shared" si="6"/>
        <v>0.1744</v>
      </c>
      <c r="K92" s="85">
        <v>0.1744</v>
      </c>
      <c r="L92" s="85" t="s">
        <v>70</v>
      </c>
      <c r="M92" s="136"/>
      <c r="N92" s="79" t="str">
        <f t="shared" si="7"/>
        <v>Nee</v>
      </c>
      <c r="O92" s="79">
        <f t="shared" si="8"/>
        <v>300</v>
      </c>
      <c r="P92" s="115">
        <f t="shared" si="9"/>
        <v>226.55</v>
      </c>
      <c r="Z92" s="85" t="str">
        <f>IF([1]Productie_en_afzet!$D$17&gt;=1.5,"Indien het nominaal thermisch ingangsvermogen van de installatie ≥ 2 MW is, gelden er duurzaamheidseisen voor de ingezette biomassa!","")</f>
        <v/>
      </c>
      <c r="AA92" s="85">
        <v>12</v>
      </c>
    </row>
    <row r="93" spans="1:35" x14ac:dyDescent="0.2">
      <c r="A93" s="85" t="s">
        <v>204</v>
      </c>
      <c r="B93" s="108">
        <v>0.14810000000000001</v>
      </c>
      <c r="C93" s="91">
        <v>4.7899999999999998E-2</v>
      </c>
      <c r="D93" s="77">
        <v>9.8599999999999993E-2</v>
      </c>
      <c r="E93" s="77">
        <v>0.79020000000000001</v>
      </c>
      <c r="F93" s="109">
        <f t="shared" si="2"/>
        <v>62.642369020501157</v>
      </c>
      <c r="G93" s="93">
        <f t="shared" si="3"/>
        <v>0.14810000000000001</v>
      </c>
      <c r="H93" s="93">
        <f t="shared" si="4"/>
        <v>0.14810000000000001</v>
      </c>
      <c r="I93" s="93">
        <f t="shared" si="5"/>
        <v>0.14810000000000001</v>
      </c>
      <c r="J93" s="93">
        <f t="shared" si="6"/>
        <v>0.14810000000000001</v>
      </c>
      <c r="K93" s="85">
        <v>0.14810000000000001</v>
      </c>
      <c r="L93" s="85" t="s">
        <v>70</v>
      </c>
      <c r="M93" s="136"/>
      <c r="N93" s="79" t="str">
        <f t="shared" si="7"/>
        <v>Nee</v>
      </c>
      <c r="O93" s="79">
        <f t="shared" si="8"/>
        <v>300</v>
      </c>
      <c r="P93" s="115">
        <f t="shared" si="9"/>
        <v>62.642000000000003</v>
      </c>
      <c r="Z93" s="85" t="str">
        <f>""</f>
        <v/>
      </c>
      <c r="AA93" s="85">
        <v>12</v>
      </c>
    </row>
    <row r="94" spans="1:35" x14ac:dyDescent="0.2">
      <c r="A94" s="85" t="s">
        <v>34</v>
      </c>
      <c r="B94" s="108">
        <v>0.12709999999999999</v>
      </c>
      <c r="C94" s="91">
        <v>4.8800000000000003E-2</v>
      </c>
      <c r="D94" s="77">
        <v>8.1699999999999995E-2</v>
      </c>
      <c r="E94" s="77">
        <v>0.15129999999999999</v>
      </c>
      <c r="F94" s="109">
        <f t="shared" si="2"/>
        <v>300.06609385327164</v>
      </c>
      <c r="G94" s="93">
        <f t="shared" si="3"/>
        <v>9.3047499999999991E-2</v>
      </c>
      <c r="H94" s="93">
        <f t="shared" si="4"/>
        <v>0.10439499999999999</v>
      </c>
      <c r="I94" s="93">
        <f t="shared" si="5"/>
        <v>0.1157425</v>
      </c>
      <c r="J94" s="93">
        <f t="shared" si="6"/>
        <v>0.12708999999999998</v>
      </c>
      <c r="K94" s="128">
        <v>0.12709999999999999</v>
      </c>
      <c r="L94" s="85" t="s">
        <v>70</v>
      </c>
      <c r="M94" s="136"/>
      <c r="N94" s="79" t="str">
        <f t="shared" si="7"/>
        <v>Nee</v>
      </c>
      <c r="O94" s="79">
        <f t="shared" si="8"/>
        <v>300</v>
      </c>
      <c r="P94" s="115">
        <f t="shared" si="9"/>
        <v>300.06599999999997</v>
      </c>
      <c r="Z94" s="85" t="str">
        <f>IF([1]Productie_en_afzet!$D$17&gt;=1.5,"Indien het nominaal thermisch ingangsvermogen van de installatie ≥ 2 MW is, gelden er duurzaamheidseisen voor de ingezette biomassa!","")</f>
        <v/>
      </c>
      <c r="AA94" s="85">
        <v>12</v>
      </c>
    </row>
    <row r="95" spans="1:35" x14ac:dyDescent="0.2">
      <c r="A95" s="85"/>
      <c r="B95" s="108"/>
      <c r="C95" s="91"/>
      <c r="D95" s="77"/>
      <c r="E95" s="77"/>
      <c r="F95" s="109"/>
      <c r="G95" s="93"/>
      <c r="H95" s="93"/>
      <c r="I95" s="93"/>
      <c r="J95" s="93"/>
      <c r="K95" s="85"/>
      <c r="L95" s="85"/>
      <c r="M95" s="136"/>
      <c r="N95" s="79"/>
      <c r="O95" s="79"/>
      <c r="P95" s="115"/>
      <c r="Z95" s="85"/>
      <c r="AA95" s="85"/>
    </row>
    <row r="96" spans="1:35" x14ac:dyDescent="0.2">
      <c r="A96" s="88" t="s">
        <v>129</v>
      </c>
      <c r="B96" s="111"/>
      <c r="C96" s="91"/>
      <c r="D96" s="77"/>
      <c r="E96" s="77"/>
      <c r="F96" s="109"/>
      <c r="G96" s="93"/>
      <c r="H96" s="93"/>
      <c r="I96" s="93"/>
      <c r="J96" s="93"/>
      <c r="K96" s="85"/>
      <c r="L96" s="85"/>
      <c r="M96" s="136"/>
      <c r="N96" s="79"/>
      <c r="O96" s="79"/>
      <c r="P96" s="115"/>
      <c r="Z96" s="85"/>
      <c r="AA96" s="85"/>
    </row>
    <row r="97" spans="1:27" x14ac:dyDescent="0.2">
      <c r="A97" s="85" t="s">
        <v>32</v>
      </c>
      <c r="B97" s="108">
        <v>0.1193</v>
      </c>
      <c r="C97" s="91">
        <v>4.65E-2</v>
      </c>
      <c r="D97" s="77">
        <v>6.8200000000000011E-2</v>
      </c>
      <c r="E97" s="77">
        <v>0.21809999999999999</v>
      </c>
      <c r="F97" s="109">
        <f t="shared" ref="F97:F103" si="10">(B97-D97)*1000/E97</f>
        <v>234.29619440623566</v>
      </c>
      <c r="G97" s="93">
        <f t="shared" ref="G97:G103" si="11">MIN($B97,(75*$E97/1000)+$D97)</f>
        <v>8.4557500000000008E-2</v>
      </c>
      <c r="H97" s="93">
        <f t="shared" ref="H97:H103" si="12">MIN($B97,(150*$E97/1000)+$D97)</f>
        <v>0.100915</v>
      </c>
      <c r="I97" s="93">
        <f t="shared" ref="I97:I103" si="13">MIN($B97,(225*$E97/1000)+$D97)</f>
        <v>0.1172725</v>
      </c>
      <c r="J97" s="93">
        <f t="shared" ref="J97:J103" si="14">MIN($B97,(300*$E97/1000)+$D97)</f>
        <v>0.1193</v>
      </c>
      <c r="K97" s="85">
        <v>0.1193</v>
      </c>
      <c r="L97" s="85" t="s">
        <v>70</v>
      </c>
      <c r="M97" s="136" t="s">
        <v>113</v>
      </c>
      <c r="N97" s="79" t="str">
        <f t="shared" si="7"/>
        <v>Ja</v>
      </c>
      <c r="O97" s="79">
        <f t="shared" si="8"/>
        <v>400</v>
      </c>
      <c r="P97" s="115">
        <f t="shared" si="9"/>
        <v>234.29599999999999</v>
      </c>
      <c r="Z97" s="85" t="str">
        <f>IF([1]Productie_en_afzet!$D$17&gt;=1.5,"Indien het nominaal thermisch ingangsvermogen van de installatie ≥ 2 MW is, gelden er duurzaamheidseisen voor de ingezette biomassa!","")</f>
        <v/>
      </c>
      <c r="AA97" s="85">
        <v>12</v>
      </c>
    </row>
    <row r="98" spans="1:27" x14ac:dyDescent="0.2">
      <c r="A98" s="85" t="s">
        <v>131</v>
      </c>
      <c r="B98" s="108">
        <v>9.9000000000000005E-2</v>
      </c>
      <c r="C98" s="91">
        <v>4.65E-2</v>
      </c>
      <c r="D98" s="77">
        <v>6.8200000000000011E-2</v>
      </c>
      <c r="E98" s="77">
        <v>0.21809999999999999</v>
      </c>
      <c r="F98" s="109">
        <f t="shared" si="10"/>
        <v>141.21962402567627</v>
      </c>
      <c r="G98" s="93">
        <f t="shared" si="11"/>
        <v>8.4557500000000008E-2</v>
      </c>
      <c r="H98" s="93">
        <f t="shared" si="12"/>
        <v>9.9000000000000005E-2</v>
      </c>
      <c r="I98" s="93">
        <f t="shared" si="13"/>
        <v>9.9000000000000005E-2</v>
      </c>
      <c r="J98" s="93">
        <f t="shared" si="14"/>
        <v>9.9000000000000005E-2</v>
      </c>
      <c r="K98" s="85">
        <v>9.9000000000000005E-2</v>
      </c>
      <c r="L98" s="85" t="s">
        <v>70</v>
      </c>
      <c r="M98" s="136" t="s">
        <v>113</v>
      </c>
      <c r="N98" s="79" t="str">
        <f t="shared" si="7"/>
        <v>Ja</v>
      </c>
      <c r="O98" s="79">
        <f t="shared" si="8"/>
        <v>400</v>
      </c>
      <c r="P98" s="115">
        <f t="shared" si="9"/>
        <v>141.22</v>
      </c>
      <c r="Z98" s="85" t="str">
        <f>IF([1]Productie_en_afzet!$D$17&gt;=1.5,"Indien het nominaal thermisch ingangsvermogen van de installatie ≥ 2 MW is, gelden er duurzaamheidseisen voor de ingezette biomassa!","")</f>
        <v/>
      </c>
      <c r="AA98" s="85">
        <v>12</v>
      </c>
    </row>
    <row r="99" spans="1:27" x14ac:dyDescent="0.2">
      <c r="A99" s="85" t="s">
        <v>130</v>
      </c>
      <c r="B99" s="108">
        <v>0.25569999999999998</v>
      </c>
      <c r="C99" s="91">
        <v>4.65E-2</v>
      </c>
      <c r="D99" s="77">
        <v>6.8200000000000011E-2</v>
      </c>
      <c r="E99" s="77">
        <v>0.58740000000000003</v>
      </c>
      <c r="F99" s="109">
        <f t="shared" si="10"/>
        <v>319.2032686414708</v>
      </c>
      <c r="G99" s="93">
        <f t="shared" si="11"/>
        <v>0.11225500000000001</v>
      </c>
      <c r="H99" s="93">
        <f t="shared" si="12"/>
        <v>0.15631</v>
      </c>
      <c r="I99" s="93">
        <f t="shared" si="13"/>
        <v>0.20036500000000004</v>
      </c>
      <c r="J99" s="93">
        <f t="shared" si="14"/>
        <v>0.24442</v>
      </c>
      <c r="K99" s="85">
        <v>0.25569999999999998</v>
      </c>
      <c r="L99" s="85" t="s">
        <v>70</v>
      </c>
      <c r="M99" s="136" t="s">
        <v>113</v>
      </c>
      <c r="N99" s="79" t="str">
        <f t="shared" si="7"/>
        <v>Ja</v>
      </c>
      <c r="O99" s="79">
        <f t="shared" si="8"/>
        <v>400</v>
      </c>
      <c r="P99" s="115">
        <f t="shared" si="9"/>
        <v>319.20299999999997</v>
      </c>
      <c r="Z99" s="85" t="str">
        <f>""</f>
        <v/>
      </c>
      <c r="AA99" s="85">
        <v>12</v>
      </c>
    </row>
    <row r="100" spans="1:27" x14ac:dyDescent="0.2">
      <c r="A100" s="85" t="s">
        <v>205</v>
      </c>
      <c r="B100" s="108">
        <v>0.19620000000000001</v>
      </c>
      <c r="C100" s="91">
        <v>4.65E-2</v>
      </c>
      <c r="D100" s="77">
        <v>6.8200000000000011E-2</v>
      </c>
      <c r="E100" s="77">
        <v>0.55940000000000001</v>
      </c>
      <c r="F100" s="109">
        <f t="shared" si="10"/>
        <v>228.81658920271718</v>
      </c>
      <c r="G100" s="93">
        <f t="shared" si="11"/>
        <v>0.110155</v>
      </c>
      <c r="H100" s="93">
        <f t="shared" si="12"/>
        <v>0.15211000000000002</v>
      </c>
      <c r="I100" s="93">
        <f t="shared" si="13"/>
        <v>0.19406500000000002</v>
      </c>
      <c r="J100" s="93">
        <f t="shared" si="14"/>
        <v>0.19620000000000001</v>
      </c>
      <c r="K100" s="85">
        <v>0.19620000000000001</v>
      </c>
      <c r="L100" s="85" t="s">
        <v>70</v>
      </c>
      <c r="M100" s="136" t="s">
        <v>113</v>
      </c>
      <c r="N100" s="79" t="str">
        <f t="shared" si="7"/>
        <v>Ja</v>
      </c>
      <c r="O100" s="79">
        <f t="shared" si="8"/>
        <v>400</v>
      </c>
      <c r="P100" s="115">
        <f t="shared" si="9"/>
        <v>228.81700000000001</v>
      </c>
      <c r="Z100" s="85"/>
      <c r="AA100" s="85">
        <v>12</v>
      </c>
    </row>
    <row r="101" spans="1:27" x14ac:dyDescent="0.2">
      <c r="A101" s="85" t="s">
        <v>151</v>
      </c>
      <c r="B101" s="110">
        <v>0.14319999999999999</v>
      </c>
      <c r="C101" s="91">
        <v>4.65E-2</v>
      </c>
      <c r="D101" s="77">
        <v>6.8200000000000011E-2</v>
      </c>
      <c r="E101" s="77">
        <v>0.37730000000000002</v>
      </c>
      <c r="F101" s="109">
        <f t="shared" si="10"/>
        <v>198.78081102570894</v>
      </c>
      <c r="G101" s="93">
        <f t="shared" si="11"/>
        <v>9.6497500000000014E-2</v>
      </c>
      <c r="H101" s="93">
        <f t="shared" si="12"/>
        <v>0.12479500000000002</v>
      </c>
      <c r="I101" s="93">
        <f t="shared" si="13"/>
        <v>0.14319999999999999</v>
      </c>
      <c r="J101" s="93">
        <f t="shared" si="14"/>
        <v>0.14319999999999999</v>
      </c>
      <c r="K101" s="85">
        <v>0.14319999999999999</v>
      </c>
      <c r="L101" s="85" t="s">
        <v>70</v>
      </c>
      <c r="M101" s="136" t="s">
        <v>113</v>
      </c>
      <c r="N101" s="79" t="str">
        <f t="shared" si="7"/>
        <v>Ja</v>
      </c>
      <c r="O101" s="79">
        <f t="shared" si="8"/>
        <v>400</v>
      </c>
      <c r="P101" s="115">
        <f t="shared" si="9"/>
        <v>198.78100000000001</v>
      </c>
      <c r="Z101" s="85" t="str">
        <f>IF([1]Productie_en_afzet!$D$17&gt;=1.5,"Indien het nominaal thermisch ingangsvermogen van de installatie ≥ 2 MW is, gelden er duurzaamheidseisen voor de ingezette biomassa!","")</f>
        <v/>
      </c>
      <c r="AA101" s="85">
        <v>12</v>
      </c>
    </row>
    <row r="102" spans="1:27" x14ac:dyDescent="0.2">
      <c r="A102" s="85" t="s">
        <v>206</v>
      </c>
      <c r="B102" s="110">
        <v>0.1178</v>
      </c>
      <c r="C102" s="91">
        <v>4.65E-2</v>
      </c>
      <c r="D102" s="77">
        <v>6.8200000000000011E-2</v>
      </c>
      <c r="E102" s="77">
        <v>0.55940000000000001</v>
      </c>
      <c r="F102" s="109">
        <f t="shared" si="10"/>
        <v>88.666428316052901</v>
      </c>
      <c r="G102" s="93">
        <f t="shared" si="11"/>
        <v>0.110155</v>
      </c>
      <c r="H102" s="93">
        <f t="shared" si="12"/>
        <v>0.1178</v>
      </c>
      <c r="I102" s="93">
        <f t="shared" si="13"/>
        <v>0.1178</v>
      </c>
      <c r="J102" s="93">
        <f t="shared" si="14"/>
        <v>0.1178</v>
      </c>
      <c r="K102" s="85">
        <v>0.1178</v>
      </c>
      <c r="L102" s="85" t="s">
        <v>70</v>
      </c>
      <c r="M102" s="136" t="s">
        <v>113</v>
      </c>
      <c r="N102" s="79" t="str">
        <f t="shared" si="7"/>
        <v>Ja</v>
      </c>
      <c r="O102" s="79">
        <f t="shared" si="8"/>
        <v>400</v>
      </c>
      <c r="P102" s="115">
        <f t="shared" si="9"/>
        <v>88.665999999999997</v>
      </c>
      <c r="Z102" s="85"/>
      <c r="AA102" s="85">
        <v>12</v>
      </c>
    </row>
    <row r="103" spans="1:27" x14ac:dyDescent="0.2">
      <c r="A103" s="85" t="s">
        <v>35</v>
      </c>
      <c r="B103" s="108">
        <v>0.1658</v>
      </c>
      <c r="C103" s="91">
        <v>6.0600000000000001E-2</v>
      </c>
      <c r="D103" s="77">
        <v>8.2400000000000001E-2</v>
      </c>
      <c r="E103" s="77">
        <v>0.20860000000000001</v>
      </c>
      <c r="F103" s="109">
        <f t="shared" si="10"/>
        <v>399.80824544582936</v>
      </c>
      <c r="G103" s="93">
        <f t="shared" si="11"/>
        <v>9.8045000000000007E-2</v>
      </c>
      <c r="H103" s="93">
        <f t="shared" si="12"/>
        <v>0.11369000000000001</v>
      </c>
      <c r="I103" s="93">
        <f t="shared" si="13"/>
        <v>0.12933500000000001</v>
      </c>
      <c r="J103" s="93">
        <f t="shared" si="14"/>
        <v>0.14498</v>
      </c>
      <c r="K103" s="85">
        <v>0.1658</v>
      </c>
      <c r="L103" s="85" t="s">
        <v>70</v>
      </c>
      <c r="M103" s="136" t="s">
        <v>113</v>
      </c>
      <c r="N103" s="79" t="str">
        <f t="shared" si="7"/>
        <v>Ja</v>
      </c>
      <c r="O103" s="79">
        <f t="shared" si="8"/>
        <v>400</v>
      </c>
      <c r="P103" s="115">
        <f t="shared" si="9"/>
        <v>399.80799999999999</v>
      </c>
      <c r="Z103" s="85" t="str">
        <f>IF([1]Productie_en_afzet!$D$17&gt;=1.5,"Indien het nominaal thermisch ingangsvermogen van de installatie ≥ 2 MW is, gelden er duurzaamheidseisen voor de ingezette biomassa!","")</f>
        <v/>
      </c>
      <c r="AA103" s="85">
        <v>12</v>
      </c>
    </row>
    <row r="104" spans="1:27" x14ac:dyDescent="0.2">
      <c r="A104" s="85"/>
      <c r="B104" s="108"/>
      <c r="C104" s="91"/>
      <c r="D104" s="77"/>
      <c r="E104" s="77"/>
      <c r="F104" s="109"/>
      <c r="G104" s="93"/>
      <c r="H104" s="93"/>
      <c r="I104" s="93"/>
      <c r="J104" s="93"/>
      <c r="K104" s="85"/>
      <c r="L104" s="112"/>
      <c r="M104" s="136"/>
      <c r="N104" s="79"/>
      <c r="O104" s="79"/>
      <c r="P104" s="115"/>
      <c r="Z104" s="85"/>
      <c r="AA104" s="85"/>
    </row>
    <row r="105" spans="1:27" x14ac:dyDescent="0.2">
      <c r="A105" s="88" t="s">
        <v>132</v>
      </c>
      <c r="B105" s="111"/>
      <c r="C105" s="91"/>
      <c r="D105" s="77"/>
      <c r="E105" s="77"/>
      <c r="F105" s="109"/>
      <c r="G105" s="93"/>
      <c r="H105" s="93"/>
      <c r="I105" s="93"/>
      <c r="J105" s="93"/>
      <c r="K105" s="85"/>
      <c r="L105" s="85"/>
      <c r="M105" s="136"/>
      <c r="N105" s="79"/>
      <c r="O105" s="79"/>
      <c r="P105" s="115"/>
      <c r="Z105" s="85"/>
      <c r="AA105" s="85"/>
    </row>
    <row r="106" spans="1:27" x14ac:dyDescent="0.2">
      <c r="A106" s="85" t="s">
        <v>45</v>
      </c>
      <c r="B106" s="108">
        <v>0.1027</v>
      </c>
      <c r="C106" s="91">
        <v>1.6799999999999999E-2</v>
      </c>
      <c r="D106" s="77">
        <v>5.2900000000000003E-2</v>
      </c>
      <c r="E106" s="77">
        <v>0.1709</v>
      </c>
      <c r="F106" s="109">
        <f t="shared" ref="F106:F117" si="15">(B106-D106)*1000/E106</f>
        <v>291.398478642481</v>
      </c>
      <c r="G106" s="93">
        <f t="shared" ref="G106:G117" si="16">MIN($B106,(75*$E106/1000)+$D106)</f>
        <v>6.5717499999999998E-2</v>
      </c>
      <c r="H106" s="93">
        <f t="shared" ref="H106:H117" si="17">MIN($B106,(150*$E106/1000)+$D106)</f>
        <v>7.8534999999999994E-2</v>
      </c>
      <c r="I106" s="93">
        <f t="shared" ref="I106:I117" si="18">MIN($B106,(225*$E106/1000)+$D106)</f>
        <v>9.1352500000000003E-2</v>
      </c>
      <c r="J106" s="93">
        <f t="shared" ref="J106:J117" si="19">MIN($B106,(300*$E106/1000)+$D106)</f>
        <v>0.1027</v>
      </c>
      <c r="K106" s="85">
        <v>0.1027</v>
      </c>
      <c r="L106" s="85" t="s">
        <v>70</v>
      </c>
      <c r="M106" s="136" t="s">
        <v>114</v>
      </c>
      <c r="N106" s="79" t="str">
        <f t="shared" si="7"/>
        <v>Ja</v>
      </c>
      <c r="O106" s="79">
        <f t="shared" si="8"/>
        <v>400</v>
      </c>
      <c r="P106" s="115">
        <f t="shared" si="9"/>
        <v>291.39800000000002</v>
      </c>
      <c r="Z106" s="85" t="str">
        <f>IF([1]Productie_en_afzet!$D$17&gt;=2,"Het vermogen van de gasopwaardeerinstallatie is ≥ 2 MW, er gelden duurzaamheidseisen voor de ingezette biomassa!","")</f>
        <v/>
      </c>
      <c r="AA106" s="85">
        <v>12</v>
      </c>
    </row>
    <row r="107" spans="1:27" x14ac:dyDescent="0.2">
      <c r="A107" s="85" t="s">
        <v>134</v>
      </c>
      <c r="B107" s="108">
        <v>8.1000000000000003E-2</v>
      </c>
      <c r="C107" s="91">
        <v>1.6799999999999999E-2</v>
      </c>
      <c r="D107" s="77">
        <v>5.2900000000000003E-2</v>
      </c>
      <c r="E107" s="77">
        <v>0.1709</v>
      </c>
      <c r="F107" s="109">
        <f t="shared" si="15"/>
        <v>164.42363955529549</v>
      </c>
      <c r="G107" s="93">
        <f t="shared" si="16"/>
        <v>6.5717499999999998E-2</v>
      </c>
      <c r="H107" s="93">
        <f t="shared" si="17"/>
        <v>7.8534999999999994E-2</v>
      </c>
      <c r="I107" s="93">
        <f t="shared" si="18"/>
        <v>8.1000000000000003E-2</v>
      </c>
      <c r="J107" s="93">
        <f t="shared" si="19"/>
        <v>8.1000000000000003E-2</v>
      </c>
      <c r="K107" s="85">
        <v>8.1000000000000003E-2</v>
      </c>
      <c r="L107" s="85" t="s">
        <v>70</v>
      </c>
      <c r="M107" s="136" t="s">
        <v>114</v>
      </c>
      <c r="N107" s="79" t="str">
        <f t="shared" si="7"/>
        <v>Ja</v>
      </c>
      <c r="O107" s="79">
        <f t="shared" si="8"/>
        <v>400</v>
      </c>
      <c r="P107" s="115">
        <f t="shared" si="9"/>
        <v>164.42400000000001</v>
      </c>
      <c r="Z107" s="85" t="str">
        <f>IF([1]Productie_en_afzet!$D$17&gt;=2,"Het vermogen van de gasopwaardeerinstallatie is ≥ 2 MW, er gelden duurzaamheidseisen voor de ingezette biomassa!","")</f>
        <v/>
      </c>
      <c r="AA107" s="85">
        <v>12</v>
      </c>
    </row>
    <row r="108" spans="1:27" x14ac:dyDescent="0.2">
      <c r="A108" s="85" t="s">
        <v>207</v>
      </c>
      <c r="B108" s="108">
        <v>8.7499999999999994E-2</v>
      </c>
      <c r="C108" s="91">
        <v>1.6799999999999999E-2</v>
      </c>
      <c r="D108" s="77">
        <v>5.2900000000000003E-2</v>
      </c>
      <c r="E108" s="77">
        <v>0.1709</v>
      </c>
      <c r="F108" s="109">
        <f t="shared" si="15"/>
        <v>202.4575775307197</v>
      </c>
      <c r="G108" s="93">
        <f t="shared" si="16"/>
        <v>6.5717499999999998E-2</v>
      </c>
      <c r="H108" s="93">
        <f t="shared" si="17"/>
        <v>7.8534999999999994E-2</v>
      </c>
      <c r="I108" s="93">
        <f t="shared" si="18"/>
        <v>8.7499999999999994E-2</v>
      </c>
      <c r="J108" s="93">
        <f t="shared" si="19"/>
        <v>8.7499999999999994E-2</v>
      </c>
      <c r="K108" s="85">
        <v>8.7499999999999994E-2</v>
      </c>
      <c r="L108" s="85" t="s">
        <v>70</v>
      </c>
      <c r="M108" s="136" t="s">
        <v>114</v>
      </c>
      <c r="N108" s="79" t="str">
        <f t="shared" si="7"/>
        <v>Ja</v>
      </c>
      <c r="O108" s="79">
        <f t="shared" si="8"/>
        <v>400</v>
      </c>
      <c r="P108" s="115">
        <f t="shared" si="9"/>
        <v>202.458</v>
      </c>
      <c r="Z108" s="85" t="str">
        <f>IF([1]Productie_en_afzet!$D$17&gt;=2,"Het vermogen van de gasopwaardeerinstallatie is ≥ 2 MW, er gelden duurzaamheidseisen voor de ingezette biomassa!","")</f>
        <v/>
      </c>
      <c r="AA108" s="85">
        <v>12</v>
      </c>
    </row>
    <row r="109" spans="1:27" x14ac:dyDescent="0.2">
      <c r="A109" s="85" t="s">
        <v>133</v>
      </c>
      <c r="B109" s="108">
        <v>0.25219999999999998</v>
      </c>
      <c r="C109" s="91">
        <v>1.6799999999999999E-2</v>
      </c>
      <c r="D109" s="77">
        <v>5.2900000000000003E-2</v>
      </c>
      <c r="E109" s="77">
        <v>0.50980000000000003</v>
      </c>
      <c r="F109" s="109">
        <f t="shared" si="15"/>
        <v>390.93762259709683</v>
      </c>
      <c r="G109" s="93">
        <f t="shared" si="16"/>
        <v>9.1134999999999994E-2</v>
      </c>
      <c r="H109" s="93">
        <f t="shared" si="17"/>
        <v>0.12936999999999999</v>
      </c>
      <c r="I109" s="93">
        <f t="shared" si="18"/>
        <v>0.167605</v>
      </c>
      <c r="J109" s="93">
        <f t="shared" si="19"/>
        <v>0.20584</v>
      </c>
      <c r="K109" s="85">
        <v>0.25219999999999998</v>
      </c>
      <c r="L109" s="85" t="s">
        <v>70</v>
      </c>
      <c r="M109" s="136" t="s">
        <v>114</v>
      </c>
      <c r="N109" s="79" t="str">
        <f t="shared" si="7"/>
        <v>Ja</v>
      </c>
      <c r="O109" s="79">
        <f t="shared" si="8"/>
        <v>400</v>
      </c>
      <c r="P109" s="115">
        <f t="shared" si="9"/>
        <v>390.93799999999999</v>
      </c>
      <c r="Z109" s="85" t="str">
        <f>""</f>
        <v/>
      </c>
      <c r="AA109" s="85">
        <v>12</v>
      </c>
    </row>
    <row r="110" spans="1:27" x14ac:dyDescent="0.2">
      <c r="A110" s="85" t="s">
        <v>208</v>
      </c>
      <c r="B110" s="108">
        <v>0.1822</v>
      </c>
      <c r="C110" s="91">
        <v>1.6799999999999999E-2</v>
      </c>
      <c r="D110" s="77">
        <v>5.2900000000000003E-2</v>
      </c>
      <c r="E110" s="77">
        <v>0.47910000000000003</v>
      </c>
      <c r="F110" s="109">
        <f t="shared" si="15"/>
        <v>269.88102692548529</v>
      </c>
      <c r="G110" s="93">
        <f t="shared" si="16"/>
        <v>8.8832500000000009E-2</v>
      </c>
      <c r="H110" s="93">
        <f t="shared" si="17"/>
        <v>0.12476500000000001</v>
      </c>
      <c r="I110" s="93">
        <f t="shared" si="18"/>
        <v>0.16069749999999999</v>
      </c>
      <c r="J110" s="93">
        <f t="shared" si="19"/>
        <v>0.1822</v>
      </c>
      <c r="K110" s="85">
        <v>0.1822</v>
      </c>
      <c r="L110" s="85" t="s">
        <v>70</v>
      </c>
      <c r="M110" s="136" t="s">
        <v>114</v>
      </c>
      <c r="N110" s="79" t="str">
        <f t="shared" si="7"/>
        <v>Ja</v>
      </c>
      <c r="O110" s="79">
        <f t="shared" si="8"/>
        <v>400</v>
      </c>
      <c r="P110" s="115">
        <f t="shared" si="9"/>
        <v>269.88099999999997</v>
      </c>
      <c r="Z110" s="85"/>
      <c r="AA110" s="85">
        <v>12</v>
      </c>
    </row>
    <row r="111" spans="1:27" x14ac:dyDescent="0.2">
      <c r="A111" s="85" t="s">
        <v>152</v>
      </c>
      <c r="B111" s="110">
        <v>0.1313</v>
      </c>
      <c r="C111" s="91">
        <v>1.6799999999999999E-2</v>
      </c>
      <c r="D111" s="77">
        <v>5.2900000000000003E-2</v>
      </c>
      <c r="E111" s="77">
        <v>0.31569999999999998</v>
      </c>
      <c r="F111" s="109">
        <f t="shared" si="15"/>
        <v>248.33702882483368</v>
      </c>
      <c r="G111" s="93">
        <f t="shared" si="16"/>
        <v>7.6577499999999993E-2</v>
      </c>
      <c r="H111" s="93">
        <f t="shared" si="17"/>
        <v>0.100255</v>
      </c>
      <c r="I111" s="93">
        <f t="shared" si="18"/>
        <v>0.1239325</v>
      </c>
      <c r="J111" s="93">
        <f t="shared" si="19"/>
        <v>0.1313</v>
      </c>
      <c r="K111" s="85">
        <v>0.1313</v>
      </c>
      <c r="L111" s="85" t="s">
        <v>70</v>
      </c>
      <c r="M111" s="136" t="s">
        <v>114</v>
      </c>
      <c r="N111" s="79" t="str">
        <f t="shared" si="7"/>
        <v>Ja</v>
      </c>
      <c r="O111" s="79">
        <f t="shared" si="8"/>
        <v>400</v>
      </c>
      <c r="P111" s="115">
        <f t="shared" si="9"/>
        <v>248.33699999999999</v>
      </c>
      <c r="Z111" s="85" t="str">
        <f>IF([1]Productie_en_afzet!$D$17&gt;=2,"Het vermogen van de gasopwaardeerinstallatie is ≥ 2 MW, er gelden duurzaamheidseisen voor de ingezette biomassa!","")</f>
        <v/>
      </c>
      <c r="AA111" s="85">
        <v>12</v>
      </c>
    </row>
    <row r="112" spans="1:27" x14ac:dyDescent="0.2">
      <c r="A112" s="85" t="s">
        <v>209</v>
      </c>
      <c r="B112" s="108">
        <v>9.9699999999999997E-2</v>
      </c>
      <c r="C112" s="91">
        <v>1.6799999999999999E-2</v>
      </c>
      <c r="D112" s="77">
        <v>5.2900000000000003E-2</v>
      </c>
      <c r="E112" s="77">
        <v>0.47910000000000003</v>
      </c>
      <c r="F112" s="109">
        <f t="shared" si="15"/>
        <v>97.683155917345005</v>
      </c>
      <c r="G112" s="93">
        <f t="shared" si="16"/>
        <v>8.8832500000000009E-2</v>
      </c>
      <c r="H112" s="93">
        <f t="shared" si="17"/>
        <v>9.9699999999999997E-2</v>
      </c>
      <c r="I112" s="93">
        <f t="shared" si="18"/>
        <v>9.9699999999999997E-2</v>
      </c>
      <c r="J112" s="93">
        <f t="shared" si="19"/>
        <v>9.9699999999999997E-2</v>
      </c>
      <c r="K112" s="85">
        <v>9.9699999999999997E-2</v>
      </c>
      <c r="L112" s="85" t="s">
        <v>70</v>
      </c>
      <c r="M112" s="136" t="s">
        <v>114</v>
      </c>
      <c r="N112" s="79" t="str">
        <f t="shared" si="7"/>
        <v>Ja</v>
      </c>
      <c r="O112" s="79">
        <f t="shared" si="8"/>
        <v>400</v>
      </c>
      <c r="P112" s="115">
        <f t="shared" si="9"/>
        <v>97.683000000000007</v>
      </c>
      <c r="Z112" s="85" t="str">
        <f>""</f>
        <v/>
      </c>
      <c r="AA112" s="85">
        <v>12</v>
      </c>
    </row>
    <row r="113" spans="1:27" x14ac:dyDescent="0.2">
      <c r="A113" s="85" t="s">
        <v>210</v>
      </c>
      <c r="B113" s="108">
        <v>0.11409999999999999</v>
      </c>
      <c r="C113" s="91">
        <v>1.6799999999999999E-2</v>
      </c>
      <c r="D113" s="77">
        <v>5.2900000000000003E-2</v>
      </c>
      <c r="E113" s="77">
        <v>0.47910000000000003</v>
      </c>
      <c r="F113" s="109">
        <f t="shared" si="15"/>
        <v>127.73951158422038</v>
      </c>
      <c r="G113" s="93">
        <f t="shared" si="16"/>
        <v>8.8832500000000009E-2</v>
      </c>
      <c r="H113" s="93">
        <f t="shared" si="17"/>
        <v>0.11409999999999999</v>
      </c>
      <c r="I113" s="93">
        <f t="shared" si="18"/>
        <v>0.11409999999999999</v>
      </c>
      <c r="J113" s="93">
        <f t="shared" si="19"/>
        <v>0.11409999999999999</v>
      </c>
      <c r="K113" s="85">
        <v>0.11409999999999999</v>
      </c>
      <c r="L113" s="85" t="s">
        <v>70</v>
      </c>
      <c r="M113" s="136" t="s">
        <v>114</v>
      </c>
      <c r="N113" s="79" t="str">
        <f t="shared" si="7"/>
        <v>Ja</v>
      </c>
      <c r="O113" s="79">
        <f t="shared" si="8"/>
        <v>400</v>
      </c>
      <c r="P113" s="115">
        <f t="shared" si="9"/>
        <v>127.74</v>
      </c>
      <c r="Z113" s="85" t="str">
        <f>""</f>
        <v/>
      </c>
      <c r="AA113" s="85">
        <v>12</v>
      </c>
    </row>
    <row r="114" spans="1:27" x14ac:dyDescent="0.2">
      <c r="A114" s="85" t="s">
        <v>36</v>
      </c>
      <c r="B114" s="108">
        <v>0.1211</v>
      </c>
      <c r="C114" s="91">
        <v>1.6799999999999999E-2</v>
      </c>
      <c r="D114" s="77">
        <v>5.2900000000000003E-2</v>
      </c>
      <c r="E114" s="77">
        <v>0.17050000000000001</v>
      </c>
      <c r="F114" s="109">
        <f t="shared" si="15"/>
        <v>400</v>
      </c>
      <c r="G114" s="93">
        <f t="shared" si="16"/>
        <v>6.568750000000001E-2</v>
      </c>
      <c r="H114" s="93">
        <f t="shared" si="17"/>
        <v>7.8475000000000003E-2</v>
      </c>
      <c r="I114" s="93">
        <f t="shared" si="18"/>
        <v>9.126250000000001E-2</v>
      </c>
      <c r="J114" s="93">
        <f t="shared" si="19"/>
        <v>0.10405</v>
      </c>
      <c r="K114" s="85">
        <v>0.1211</v>
      </c>
      <c r="L114" s="85" t="s">
        <v>70</v>
      </c>
      <c r="M114" s="136" t="s">
        <v>114</v>
      </c>
      <c r="N114" s="79" t="str">
        <f t="shared" si="7"/>
        <v>Ja</v>
      </c>
      <c r="O114" s="79">
        <f t="shared" si="8"/>
        <v>400</v>
      </c>
      <c r="P114" s="115">
        <f t="shared" si="9"/>
        <v>400</v>
      </c>
      <c r="Z114" s="85" t="str">
        <f>IF([1]Productie_en_afzet!$D$17&gt;=2,"Het vermogen van de gasopwaardeerinstallatie is ≥ 2 MW, er gelden duurzaamheidseisen voor de ingezette biomassa!","")</f>
        <v/>
      </c>
      <c r="AA114" s="85">
        <v>12</v>
      </c>
    </row>
    <row r="115" spans="1:27" x14ac:dyDescent="0.2">
      <c r="A115" s="85" t="s">
        <v>211</v>
      </c>
      <c r="B115" s="108">
        <v>5.5899999999999998E-2</v>
      </c>
      <c r="C115" s="91">
        <v>1.6799999999999999E-2</v>
      </c>
      <c r="D115" s="77">
        <v>5.2900000000000003E-2</v>
      </c>
      <c r="E115" s="77">
        <v>0.1716</v>
      </c>
      <c r="F115" s="109">
        <f t="shared" si="15"/>
        <v>17.482517482517455</v>
      </c>
      <c r="G115" s="93">
        <f t="shared" si="16"/>
        <v>5.5899999999999998E-2</v>
      </c>
      <c r="H115" s="93">
        <f t="shared" si="17"/>
        <v>5.5899999999999998E-2</v>
      </c>
      <c r="I115" s="93">
        <f t="shared" si="18"/>
        <v>5.5899999999999998E-2</v>
      </c>
      <c r="J115" s="93">
        <f t="shared" si="19"/>
        <v>5.5899999999999998E-2</v>
      </c>
      <c r="K115" s="85">
        <v>5.5899999999999998E-2</v>
      </c>
      <c r="L115" s="85" t="s">
        <v>70</v>
      </c>
      <c r="M115" s="136" t="s">
        <v>114</v>
      </c>
      <c r="N115" s="79" t="str">
        <f t="shared" si="7"/>
        <v>Ja</v>
      </c>
      <c r="O115" s="79">
        <f t="shared" si="8"/>
        <v>400</v>
      </c>
      <c r="P115" s="115">
        <f t="shared" si="9"/>
        <v>17.483000000000001</v>
      </c>
      <c r="Z115" s="85" t="str">
        <f>IF([1]Productie_en_afzet!$D$17&gt;=2,"Het vermogen van de gasopwaardeerinstallatie is ≥ 2 MW, er gelden duurzaamheidseisen voor de ingezette biomassa!","")</f>
        <v/>
      </c>
      <c r="AA115" s="85">
        <v>12</v>
      </c>
    </row>
    <row r="116" spans="1:27" x14ac:dyDescent="0.2">
      <c r="A116" s="85" t="s">
        <v>212</v>
      </c>
      <c r="B116" s="108">
        <v>0.104</v>
      </c>
      <c r="C116" s="91">
        <v>1.6799999999999999E-2</v>
      </c>
      <c r="D116" s="77">
        <v>5.2900000000000003E-2</v>
      </c>
      <c r="E116" s="77">
        <v>0.1651</v>
      </c>
      <c r="F116" s="109">
        <f t="shared" si="15"/>
        <v>309.50938824954568</v>
      </c>
      <c r="G116" s="93">
        <f t="shared" si="16"/>
        <v>6.5282500000000007E-2</v>
      </c>
      <c r="H116" s="93">
        <f t="shared" si="17"/>
        <v>7.7665000000000012E-2</v>
      </c>
      <c r="I116" s="93">
        <f t="shared" si="18"/>
        <v>9.0047500000000003E-2</v>
      </c>
      <c r="J116" s="93">
        <f t="shared" si="19"/>
        <v>0.10243000000000001</v>
      </c>
      <c r="K116" s="85">
        <v>0.104</v>
      </c>
      <c r="L116" s="85" t="s">
        <v>70</v>
      </c>
      <c r="M116" s="136" t="s">
        <v>114</v>
      </c>
      <c r="N116" s="79" t="str">
        <f t="shared" si="7"/>
        <v>Ja</v>
      </c>
      <c r="O116" s="79">
        <f t="shared" si="8"/>
        <v>400</v>
      </c>
      <c r="P116" s="115">
        <f t="shared" si="9"/>
        <v>309.50900000000001</v>
      </c>
      <c r="Z116" s="85" t="str">
        <f>IF([1]Productie_en_afzet!$D$17&gt;=2,"Het vermogen van de gasopwaardeerinstallatie is ≥ 2 MW, er gelden duurzaamheidseisen voor de ingezette biomassa!","")</f>
        <v/>
      </c>
      <c r="AA116" s="85">
        <v>12</v>
      </c>
    </row>
    <row r="117" spans="1:27" x14ac:dyDescent="0.2">
      <c r="A117" s="85" t="s">
        <v>213</v>
      </c>
      <c r="B117" s="108">
        <v>0.11890000000000001</v>
      </c>
      <c r="C117" s="91">
        <v>1.6799999999999999E-2</v>
      </c>
      <c r="D117" s="77">
        <v>5.2900000000000003E-2</v>
      </c>
      <c r="E117" s="77">
        <v>0.1651</v>
      </c>
      <c r="F117" s="109">
        <f t="shared" si="15"/>
        <v>399.75772259236828</v>
      </c>
      <c r="G117" s="93">
        <f t="shared" si="16"/>
        <v>6.5282500000000007E-2</v>
      </c>
      <c r="H117" s="93">
        <f t="shared" si="17"/>
        <v>7.7665000000000012E-2</v>
      </c>
      <c r="I117" s="93">
        <f t="shared" si="18"/>
        <v>9.0047500000000003E-2</v>
      </c>
      <c r="J117" s="93">
        <f t="shared" si="19"/>
        <v>0.10243000000000001</v>
      </c>
      <c r="K117" s="85">
        <v>0.11890000000000001</v>
      </c>
      <c r="L117" s="85" t="s">
        <v>70</v>
      </c>
      <c r="M117" s="136" t="s">
        <v>114</v>
      </c>
      <c r="N117" s="79" t="str">
        <f t="shared" si="7"/>
        <v>Ja</v>
      </c>
      <c r="O117" s="79">
        <f t="shared" si="8"/>
        <v>400</v>
      </c>
      <c r="P117" s="115">
        <f t="shared" si="9"/>
        <v>399.75799999999998</v>
      </c>
      <c r="Z117" s="85" t="str">
        <f>IF([1]Productie_en_afzet!$D$17&gt;=2,"Het vermogen van de gasopwaardeerinstallatie is ≥ 2 MW, er gelden duurzaamheidseisen voor de ingezette biomassa!","")</f>
        <v/>
      </c>
      <c r="AA117" s="85">
        <v>12</v>
      </c>
    </row>
    <row r="118" spans="1:27" x14ac:dyDescent="0.2">
      <c r="A118" s="85"/>
      <c r="B118" s="108"/>
      <c r="C118" s="77"/>
      <c r="D118" s="77"/>
      <c r="E118" s="77"/>
      <c r="F118" s="109"/>
      <c r="G118" s="93"/>
      <c r="H118" s="93"/>
      <c r="I118" s="93"/>
      <c r="J118" s="93"/>
      <c r="K118" s="85"/>
      <c r="L118" s="85"/>
      <c r="M118" s="85"/>
      <c r="N118" s="79"/>
      <c r="O118" s="79"/>
      <c r="P118" s="115"/>
      <c r="Z118" s="85"/>
      <c r="AA118" s="85"/>
    </row>
    <row r="119" spans="1:27" x14ac:dyDescent="0.2">
      <c r="A119" s="88" t="s">
        <v>135</v>
      </c>
      <c r="B119" s="110"/>
      <c r="C119" s="77"/>
      <c r="D119" s="77"/>
      <c r="E119" s="77"/>
      <c r="F119" s="109"/>
      <c r="G119" s="93"/>
      <c r="H119" s="93"/>
      <c r="I119" s="93"/>
      <c r="J119" s="93"/>
      <c r="K119" s="85"/>
      <c r="L119" s="85"/>
      <c r="M119" s="85"/>
      <c r="N119" s="79"/>
      <c r="O119" s="79"/>
      <c r="P119" s="115"/>
      <c r="Z119" s="85"/>
      <c r="AA119" s="85"/>
    </row>
    <row r="120" spans="1:27" x14ac:dyDescent="0.2">
      <c r="A120" s="85" t="s">
        <v>214</v>
      </c>
      <c r="B120" s="110">
        <v>0.14990000000000001</v>
      </c>
      <c r="C120" s="77">
        <v>4.65E-2</v>
      </c>
      <c r="D120" s="77">
        <v>5.9900000000000002E-2</v>
      </c>
      <c r="E120" s="77">
        <v>0.22500000000000001</v>
      </c>
      <c r="F120" s="109">
        <f t="shared" ref="F120:F127" si="20">(B120-D120)*1000/E120</f>
        <v>400</v>
      </c>
      <c r="G120" s="93">
        <f t="shared" ref="G120:G127" si="21">MIN($B120,(75*$E120/1000)+$D120)</f>
        <v>7.677500000000001E-2</v>
      </c>
      <c r="H120" s="93">
        <f t="shared" ref="H120:H127" si="22">MIN($B120,(150*$E120/1000)+$D120)</f>
        <v>9.3650000000000011E-2</v>
      </c>
      <c r="I120" s="93">
        <f t="shared" ref="I120:I127" si="23">MIN($B120,(225*$E120/1000)+$D120)</f>
        <v>0.11052500000000001</v>
      </c>
      <c r="J120" s="93">
        <f t="shared" ref="J120:J127" si="24">MIN($B120,(300*$E120/1000)+$D120)</f>
        <v>0.12740000000000001</v>
      </c>
      <c r="K120" s="85">
        <v>0.14990000000000001</v>
      </c>
      <c r="L120" s="85" t="s">
        <v>70</v>
      </c>
      <c r="M120" s="85" t="s">
        <v>112</v>
      </c>
      <c r="N120" s="79" t="str">
        <f t="shared" si="7"/>
        <v>Ja</v>
      </c>
      <c r="O120" s="79">
        <f t="shared" si="8"/>
        <v>400</v>
      </c>
      <c r="P120" s="115">
        <f t="shared" si="9"/>
        <v>400</v>
      </c>
      <c r="Z120" s="85" t="s">
        <v>215</v>
      </c>
      <c r="AA120" s="85">
        <v>12</v>
      </c>
    </row>
    <row r="121" spans="1:27" x14ac:dyDescent="0.2">
      <c r="A121" s="85" t="s">
        <v>216</v>
      </c>
      <c r="B121" s="110">
        <v>0.16639999999999999</v>
      </c>
      <c r="C121" s="77">
        <v>4.65E-2</v>
      </c>
      <c r="D121" s="77">
        <v>8.7600000000000011E-2</v>
      </c>
      <c r="E121" s="77">
        <v>0.22500000000000001</v>
      </c>
      <c r="F121" s="109">
        <f t="shared" si="20"/>
        <v>350.22222222222211</v>
      </c>
      <c r="G121" s="93">
        <f t="shared" si="21"/>
        <v>0.10447500000000001</v>
      </c>
      <c r="H121" s="93">
        <f t="shared" si="22"/>
        <v>0.12135000000000001</v>
      </c>
      <c r="I121" s="93">
        <f t="shared" si="23"/>
        <v>0.13822500000000001</v>
      </c>
      <c r="J121" s="93">
        <f t="shared" si="24"/>
        <v>0.15510000000000002</v>
      </c>
      <c r="K121" s="85">
        <v>0.16639999999999999</v>
      </c>
      <c r="L121" s="85" t="s">
        <v>70</v>
      </c>
      <c r="M121" s="85" t="s">
        <v>112</v>
      </c>
      <c r="N121" s="79" t="str">
        <f t="shared" si="7"/>
        <v>Ja</v>
      </c>
      <c r="O121" s="79">
        <f t="shared" si="8"/>
        <v>400</v>
      </c>
      <c r="P121" s="115">
        <f t="shared" si="9"/>
        <v>350.22199999999998</v>
      </c>
      <c r="Z121" s="85" t="s">
        <v>215</v>
      </c>
      <c r="AA121" s="85">
        <v>12</v>
      </c>
    </row>
    <row r="122" spans="1:27" x14ac:dyDescent="0.2">
      <c r="A122" s="85" t="s">
        <v>217</v>
      </c>
      <c r="B122" s="110">
        <v>6.9800000000000001E-2</v>
      </c>
      <c r="C122" s="77">
        <v>1.3100000000000001E-2</v>
      </c>
      <c r="D122" s="77">
        <v>3.1E-2</v>
      </c>
      <c r="E122" s="77">
        <v>0.22500000000000001</v>
      </c>
      <c r="F122" s="109">
        <f t="shared" si="20"/>
        <v>172.44444444444446</v>
      </c>
      <c r="G122" s="93">
        <f t="shared" si="21"/>
        <v>4.7875000000000001E-2</v>
      </c>
      <c r="H122" s="93">
        <f t="shared" si="22"/>
        <v>6.4750000000000002E-2</v>
      </c>
      <c r="I122" s="93">
        <f t="shared" si="23"/>
        <v>6.9800000000000001E-2</v>
      </c>
      <c r="J122" s="93">
        <f t="shared" si="24"/>
        <v>6.9800000000000001E-2</v>
      </c>
      <c r="K122" s="85">
        <v>6.9800000000000001E-2</v>
      </c>
      <c r="L122" s="85" t="s">
        <v>70</v>
      </c>
      <c r="M122" s="85" t="s">
        <v>112</v>
      </c>
      <c r="N122" s="79" t="str">
        <f t="shared" si="7"/>
        <v>Ja</v>
      </c>
      <c r="O122" s="79">
        <f t="shared" si="8"/>
        <v>400</v>
      </c>
      <c r="P122" s="115">
        <f t="shared" si="9"/>
        <v>172.44399999999999</v>
      </c>
      <c r="Z122" s="85" t="str">
        <f>IF([1]Productie_en_afzet!$D$17&gt;=15,"De ingezette brandstof moet voor ten minste 97% van de energetische waarde biogeen zijn! Daarnaast gelden voor installaties met een nominaal thermisch ingangsvermogen ≥ 20 MW  duurzaamheidseisen voor de ingezette biomassa!","Voor deze categorie geldt dat de ingezette brandstof voor ten minste 97% van de energetische waarde biogeen is!")</f>
        <v>Voor deze categorie geldt dat de ingezette brandstof voor ten minste 97% van de energetische waarde biogeen is!</v>
      </c>
      <c r="AA122" s="85">
        <v>12</v>
      </c>
    </row>
    <row r="123" spans="1:27" x14ac:dyDescent="0.2">
      <c r="A123" s="85" t="s">
        <v>119</v>
      </c>
      <c r="B123" s="110">
        <v>9.6600000000000005E-2</v>
      </c>
      <c r="C123" s="77">
        <v>1.3100000000000001E-2</v>
      </c>
      <c r="D123" s="77">
        <v>5.04E-2</v>
      </c>
      <c r="E123" s="77">
        <v>0.22500000000000001</v>
      </c>
      <c r="F123" s="109">
        <f t="shared" si="20"/>
        <v>205.33333333333334</v>
      </c>
      <c r="G123" s="93">
        <f t="shared" si="21"/>
        <v>6.7275000000000001E-2</v>
      </c>
      <c r="H123" s="93">
        <f t="shared" si="22"/>
        <v>8.4150000000000003E-2</v>
      </c>
      <c r="I123" s="93">
        <f t="shared" si="23"/>
        <v>9.6600000000000005E-2</v>
      </c>
      <c r="J123" s="93">
        <f t="shared" si="24"/>
        <v>9.6600000000000005E-2</v>
      </c>
      <c r="K123" s="85">
        <v>9.6600000000000005E-2</v>
      </c>
      <c r="L123" s="85" t="s">
        <v>70</v>
      </c>
      <c r="M123" s="85" t="s">
        <v>112</v>
      </c>
      <c r="N123" s="79" t="str">
        <f t="shared" si="7"/>
        <v>Ja</v>
      </c>
      <c r="O123" s="79">
        <f t="shared" si="8"/>
        <v>400</v>
      </c>
      <c r="P123" s="115">
        <f t="shared" si="9"/>
        <v>205.333</v>
      </c>
      <c r="Z123" s="85" t="s">
        <v>218</v>
      </c>
      <c r="AA123" s="85">
        <v>12</v>
      </c>
    </row>
    <row r="124" spans="1:27" x14ac:dyDescent="0.2">
      <c r="A124" s="85" t="s">
        <v>120</v>
      </c>
      <c r="B124" s="110">
        <v>0.1119</v>
      </c>
      <c r="C124" s="77">
        <v>1.3100000000000001E-2</v>
      </c>
      <c r="D124" s="77">
        <v>5.04E-2</v>
      </c>
      <c r="E124" s="77">
        <v>0.22500000000000001</v>
      </c>
      <c r="F124" s="109">
        <f t="shared" si="20"/>
        <v>273.33333333333331</v>
      </c>
      <c r="G124" s="93">
        <f t="shared" si="21"/>
        <v>6.7275000000000001E-2</v>
      </c>
      <c r="H124" s="93">
        <f t="shared" si="22"/>
        <v>8.4150000000000003E-2</v>
      </c>
      <c r="I124" s="93">
        <f t="shared" si="23"/>
        <v>0.101025</v>
      </c>
      <c r="J124" s="93">
        <f t="shared" si="24"/>
        <v>0.1119</v>
      </c>
      <c r="K124" s="85">
        <v>0.1119</v>
      </c>
      <c r="L124" s="85" t="s">
        <v>70</v>
      </c>
      <c r="M124" s="85" t="s">
        <v>112</v>
      </c>
      <c r="N124" s="79" t="str">
        <f t="shared" si="7"/>
        <v>Ja</v>
      </c>
      <c r="O124" s="79">
        <f t="shared" si="8"/>
        <v>400</v>
      </c>
      <c r="P124" s="115">
        <f t="shared" si="9"/>
        <v>273.33300000000003</v>
      </c>
      <c r="Z124" s="85" t="s">
        <v>218</v>
      </c>
      <c r="AA124" s="85">
        <v>12</v>
      </c>
    </row>
    <row r="125" spans="1:27" x14ac:dyDescent="0.2">
      <c r="A125" s="85" t="s">
        <v>136</v>
      </c>
      <c r="B125" s="110">
        <v>7.2599999999999998E-2</v>
      </c>
      <c r="C125" s="77">
        <v>4.1799999999999997E-2</v>
      </c>
      <c r="D125" s="77">
        <v>8.1900000000000001E-2</v>
      </c>
      <c r="E125" s="77">
        <v>0.22500000000000001</v>
      </c>
      <c r="F125" s="109">
        <f t="shared" si="20"/>
        <v>-41.333333333333343</v>
      </c>
      <c r="G125" s="93">
        <f t="shared" si="21"/>
        <v>7.2599999999999998E-2</v>
      </c>
      <c r="H125" s="93">
        <f t="shared" si="22"/>
        <v>7.2599999999999998E-2</v>
      </c>
      <c r="I125" s="93">
        <f t="shared" si="23"/>
        <v>7.2599999999999998E-2</v>
      </c>
      <c r="J125" s="93">
        <f t="shared" si="24"/>
        <v>7.2599999999999998E-2</v>
      </c>
      <c r="K125" s="85">
        <v>7.2599999999999998E-2</v>
      </c>
      <c r="L125" s="85" t="s">
        <v>70</v>
      </c>
      <c r="M125" s="85" t="s">
        <v>112</v>
      </c>
      <c r="N125" s="79" t="str">
        <f t="shared" si="7"/>
        <v>Ja</v>
      </c>
      <c r="O125" s="79">
        <f t="shared" si="8"/>
        <v>400</v>
      </c>
      <c r="P125" s="115">
        <f t="shared" si="9"/>
        <v>-41.332999999999998</v>
      </c>
      <c r="Z125" s="85" t="s">
        <v>218</v>
      </c>
      <c r="AA125" s="85">
        <v>12</v>
      </c>
    </row>
    <row r="126" spans="1:27" x14ac:dyDescent="0.2">
      <c r="A126" s="85" t="s">
        <v>137</v>
      </c>
      <c r="B126" s="110">
        <v>5.21E-2</v>
      </c>
      <c r="C126" s="77">
        <v>1.3100000000000001E-2</v>
      </c>
      <c r="D126" s="77">
        <v>3.1E-2</v>
      </c>
      <c r="E126" s="77">
        <v>0.22500000000000001</v>
      </c>
      <c r="F126" s="109">
        <f t="shared" si="20"/>
        <v>93.777777777777786</v>
      </c>
      <c r="G126" s="93">
        <f t="shared" si="21"/>
        <v>4.7875000000000001E-2</v>
      </c>
      <c r="H126" s="93">
        <f t="shared" si="22"/>
        <v>5.21E-2</v>
      </c>
      <c r="I126" s="93">
        <f t="shared" si="23"/>
        <v>5.21E-2</v>
      </c>
      <c r="J126" s="93">
        <f t="shared" si="24"/>
        <v>5.21E-2</v>
      </c>
      <c r="K126" s="85">
        <v>5.21E-2</v>
      </c>
      <c r="L126" s="85" t="s">
        <v>70</v>
      </c>
      <c r="M126" s="85" t="s">
        <v>112</v>
      </c>
      <c r="N126" s="79" t="str">
        <f t="shared" si="7"/>
        <v>Ja</v>
      </c>
      <c r="O126" s="79">
        <f t="shared" si="8"/>
        <v>400</v>
      </c>
      <c r="P126" s="115">
        <f t="shared" si="9"/>
        <v>93.778000000000006</v>
      </c>
      <c r="Z126" s="85" t="s">
        <v>219</v>
      </c>
      <c r="AA126" s="85">
        <v>12</v>
      </c>
    </row>
    <row r="127" spans="1:27" x14ac:dyDescent="0.2">
      <c r="A127" s="85" t="s">
        <v>220</v>
      </c>
      <c r="B127" s="110">
        <v>3.9399999999999998E-2</v>
      </c>
      <c r="C127" s="77">
        <v>1.3100000000000001E-2</v>
      </c>
      <c r="D127" s="77">
        <v>5.04E-2</v>
      </c>
      <c r="E127" s="77">
        <v>0.22500000000000001</v>
      </c>
      <c r="F127" s="109">
        <f t="shared" si="20"/>
        <v>-48.8888888888889</v>
      </c>
      <c r="G127" s="93">
        <f t="shared" si="21"/>
        <v>3.9399999999999998E-2</v>
      </c>
      <c r="H127" s="93">
        <f t="shared" si="22"/>
        <v>3.9399999999999998E-2</v>
      </c>
      <c r="I127" s="93">
        <f t="shared" si="23"/>
        <v>3.9399999999999998E-2</v>
      </c>
      <c r="J127" s="93">
        <f t="shared" si="24"/>
        <v>3.9399999999999998E-2</v>
      </c>
      <c r="K127" s="85">
        <v>3.9399999999999998E-2</v>
      </c>
      <c r="L127" s="85" t="s">
        <v>70</v>
      </c>
      <c r="M127" s="85" t="s">
        <v>112</v>
      </c>
      <c r="N127" s="79" t="str">
        <f t="shared" si="7"/>
        <v>Ja</v>
      </c>
      <c r="O127" s="79">
        <f t="shared" si="8"/>
        <v>400</v>
      </c>
      <c r="P127" s="115">
        <f t="shared" si="9"/>
        <v>-48.889000000000003</v>
      </c>
      <c r="Z127" s="85" t="s">
        <v>219</v>
      </c>
      <c r="AA127" s="85">
        <v>12</v>
      </c>
    </row>
    <row r="128" spans="1:27" x14ac:dyDescent="0.2">
      <c r="A128" s="85"/>
      <c r="B128" s="110"/>
      <c r="C128" s="77"/>
      <c r="D128" s="77"/>
      <c r="E128" s="77"/>
      <c r="F128" s="109"/>
      <c r="G128" s="93"/>
      <c r="H128" s="93"/>
      <c r="I128" s="93"/>
      <c r="J128" s="93"/>
      <c r="K128" s="85"/>
      <c r="L128" s="85"/>
      <c r="M128" s="85"/>
      <c r="N128" s="79"/>
      <c r="O128" s="79"/>
      <c r="P128" s="115"/>
      <c r="Z128" s="85"/>
      <c r="AA128" s="85"/>
    </row>
    <row r="129" spans="1:27" x14ac:dyDescent="0.2">
      <c r="A129" s="88" t="s">
        <v>2</v>
      </c>
      <c r="B129" s="113"/>
      <c r="C129" s="77"/>
      <c r="D129" s="77"/>
      <c r="E129" s="77"/>
      <c r="F129" s="109"/>
      <c r="G129" s="93"/>
      <c r="H129" s="93"/>
      <c r="I129" s="93"/>
      <c r="J129" s="93"/>
      <c r="K129" s="85"/>
      <c r="L129" s="85"/>
      <c r="M129" s="85"/>
      <c r="N129" s="79"/>
      <c r="O129" s="79"/>
      <c r="P129" s="115"/>
      <c r="Z129" s="85"/>
      <c r="AA129" s="85"/>
    </row>
    <row r="130" spans="1:27" x14ac:dyDescent="0.2">
      <c r="A130" s="85" t="s">
        <v>412</v>
      </c>
      <c r="B130" s="110">
        <v>0.1075</v>
      </c>
      <c r="C130" s="77">
        <v>1.3100000000000001E-2</v>
      </c>
      <c r="D130" s="77">
        <v>3.1E-2</v>
      </c>
      <c r="E130" s="77">
        <v>0.36359999999999998</v>
      </c>
      <c r="F130" s="109">
        <f t="shared" ref="F130:F144" si="25">(B130-D130)*1000/E130</f>
        <v>210.39603960396042</v>
      </c>
      <c r="G130" s="93">
        <f t="shared" ref="G130:G144" si="26">MIN($B130,(75*$E130/1000)+$D130)</f>
        <v>5.8270000000000002E-2</v>
      </c>
      <c r="H130" s="93">
        <f t="shared" ref="H130:H144" si="27">MIN($B130,(150*$E130/1000)+$D130)</f>
        <v>8.5540000000000005E-2</v>
      </c>
      <c r="I130" s="93">
        <f t="shared" ref="I130:I144" si="28">MIN($B130,(225*$E130/1000)+$D130)</f>
        <v>0.1075</v>
      </c>
      <c r="J130" s="93">
        <f t="shared" ref="J130:J144" si="29">MIN($B130,(300*$E130/1000)+$D130)</f>
        <v>0.1075</v>
      </c>
      <c r="K130" s="85">
        <v>0.1075</v>
      </c>
      <c r="L130" s="85" t="s">
        <v>70</v>
      </c>
      <c r="M130" s="85" t="s">
        <v>174</v>
      </c>
      <c r="N130" s="79" t="str">
        <f t="shared" si="7"/>
        <v>Ja</v>
      </c>
      <c r="O130" s="79">
        <f t="shared" si="8"/>
        <v>400</v>
      </c>
      <c r="P130" s="115">
        <f t="shared" si="9"/>
        <v>210.39599999999999</v>
      </c>
      <c r="Z130" s="85" t="s">
        <v>221</v>
      </c>
      <c r="AA130" s="85">
        <v>15</v>
      </c>
    </row>
    <row r="131" spans="1:27" x14ac:dyDescent="0.2">
      <c r="A131" s="85" t="s">
        <v>413</v>
      </c>
      <c r="B131" s="110">
        <v>0.1681</v>
      </c>
      <c r="C131" s="77">
        <v>1.3100000000000001E-2</v>
      </c>
      <c r="D131" s="77">
        <v>2.2699999999999998E-2</v>
      </c>
      <c r="E131" s="77">
        <v>0.36359999999999998</v>
      </c>
      <c r="F131" s="109">
        <f t="shared" si="25"/>
        <v>399.88998899889992</v>
      </c>
      <c r="G131" s="93">
        <f t="shared" si="26"/>
        <v>4.9970000000000001E-2</v>
      </c>
      <c r="H131" s="93">
        <f t="shared" si="27"/>
        <v>7.7240000000000003E-2</v>
      </c>
      <c r="I131" s="93">
        <f t="shared" si="28"/>
        <v>0.10451000000000001</v>
      </c>
      <c r="J131" s="93">
        <f t="shared" si="29"/>
        <v>0.13178000000000001</v>
      </c>
      <c r="K131" s="85">
        <v>0.1681</v>
      </c>
      <c r="L131" s="85" t="s">
        <v>70</v>
      </c>
      <c r="M131" s="85" t="s">
        <v>174</v>
      </c>
      <c r="N131" s="79" t="str">
        <f t="shared" si="7"/>
        <v>Ja</v>
      </c>
      <c r="O131" s="79">
        <f t="shared" si="8"/>
        <v>400</v>
      </c>
      <c r="P131" s="115">
        <f t="shared" si="9"/>
        <v>399.89</v>
      </c>
      <c r="Z131" s="85" t="s">
        <v>222</v>
      </c>
      <c r="AA131" s="85">
        <v>15</v>
      </c>
    </row>
    <row r="132" spans="1:27" x14ac:dyDescent="0.2">
      <c r="A132" s="85" t="s">
        <v>414</v>
      </c>
      <c r="B132" s="110">
        <v>0.16739999999999999</v>
      </c>
      <c r="C132" s="77">
        <v>1.3100000000000001E-2</v>
      </c>
      <c r="D132" s="77">
        <v>2.2699999999999998E-2</v>
      </c>
      <c r="E132" s="77">
        <v>0.36180000000000001</v>
      </c>
      <c r="F132" s="109">
        <f t="shared" si="25"/>
        <v>399.94472084024318</v>
      </c>
      <c r="G132" s="93">
        <f t="shared" si="26"/>
        <v>4.9835000000000004E-2</v>
      </c>
      <c r="H132" s="93">
        <f t="shared" si="27"/>
        <v>7.6970000000000011E-2</v>
      </c>
      <c r="I132" s="93">
        <f t="shared" si="28"/>
        <v>0.104105</v>
      </c>
      <c r="J132" s="93">
        <f t="shared" si="29"/>
        <v>0.13124000000000002</v>
      </c>
      <c r="K132" s="85">
        <v>0.16739999999999999</v>
      </c>
      <c r="L132" s="85" t="s">
        <v>70</v>
      </c>
      <c r="M132" s="85" t="s">
        <v>174</v>
      </c>
      <c r="N132" s="79" t="str">
        <f t="shared" si="7"/>
        <v>Ja</v>
      </c>
      <c r="O132" s="79">
        <f t="shared" si="8"/>
        <v>400</v>
      </c>
      <c r="P132" s="115">
        <f t="shared" si="9"/>
        <v>399.94499999999999</v>
      </c>
      <c r="Z132" s="85"/>
      <c r="AA132" s="85"/>
    </row>
    <row r="133" spans="1:27" x14ac:dyDescent="0.2">
      <c r="A133" s="85" t="s">
        <v>415</v>
      </c>
      <c r="B133" s="110">
        <v>0.14760000000000001</v>
      </c>
      <c r="C133" s="77">
        <v>1.3100000000000001E-2</v>
      </c>
      <c r="D133" s="77">
        <v>2.2699999999999998E-2</v>
      </c>
      <c r="E133" s="77">
        <v>0.36170000000000002</v>
      </c>
      <c r="F133" s="109">
        <f t="shared" si="25"/>
        <v>345.31379596350564</v>
      </c>
      <c r="G133" s="93">
        <f t="shared" si="26"/>
        <v>4.9827499999999997E-2</v>
      </c>
      <c r="H133" s="93">
        <f t="shared" si="27"/>
        <v>7.6954999999999996E-2</v>
      </c>
      <c r="I133" s="93">
        <f t="shared" si="28"/>
        <v>0.10408250000000001</v>
      </c>
      <c r="J133" s="93">
        <f t="shared" si="29"/>
        <v>0.13120999999999999</v>
      </c>
      <c r="K133" s="85">
        <v>0.14760000000000001</v>
      </c>
      <c r="L133" s="85" t="s">
        <v>70</v>
      </c>
      <c r="M133" s="85" t="s">
        <v>174</v>
      </c>
      <c r="N133" s="79" t="str">
        <f t="shared" si="7"/>
        <v>Ja</v>
      </c>
      <c r="O133" s="79">
        <f t="shared" si="8"/>
        <v>400</v>
      </c>
      <c r="P133" s="115">
        <f t="shared" si="9"/>
        <v>345.31400000000002</v>
      </c>
      <c r="Z133" s="85"/>
      <c r="AA133" s="85"/>
    </row>
    <row r="134" spans="1:27" x14ac:dyDescent="0.2">
      <c r="A134" s="85" t="s">
        <v>416</v>
      </c>
      <c r="B134" s="110">
        <v>0.13250000000000001</v>
      </c>
      <c r="C134" s="77">
        <v>1.3100000000000001E-2</v>
      </c>
      <c r="D134" s="77">
        <v>2.2699999999999998E-2</v>
      </c>
      <c r="E134" s="77">
        <v>0.36180000000000001</v>
      </c>
      <c r="F134" s="109">
        <f t="shared" si="25"/>
        <v>303.48258706467664</v>
      </c>
      <c r="G134" s="93">
        <f t="shared" si="26"/>
        <v>4.9835000000000004E-2</v>
      </c>
      <c r="H134" s="93">
        <f t="shared" si="27"/>
        <v>7.6970000000000011E-2</v>
      </c>
      <c r="I134" s="93">
        <f t="shared" si="28"/>
        <v>0.104105</v>
      </c>
      <c r="J134" s="93">
        <f t="shared" si="29"/>
        <v>0.13124000000000002</v>
      </c>
      <c r="K134" s="85">
        <v>0.13250000000000001</v>
      </c>
      <c r="L134" s="85" t="s">
        <v>70</v>
      </c>
      <c r="M134" s="85" t="s">
        <v>174</v>
      </c>
      <c r="N134" s="79" t="str">
        <f t="shared" si="7"/>
        <v>Ja</v>
      </c>
      <c r="O134" s="79">
        <f t="shared" si="8"/>
        <v>400</v>
      </c>
      <c r="P134" s="115">
        <f t="shared" si="9"/>
        <v>303.483</v>
      </c>
      <c r="Z134" s="85"/>
      <c r="AA134" s="85"/>
    </row>
    <row r="135" spans="1:27" x14ac:dyDescent="0.2">
      <c r="A135" s="85" t="s">
        <v>83</v>
      </c>
      <c r="B135" s="110">
        <v>7.9899999999999999E-2</v>
      </c>
      <c r="C135" s="77">
        <v>1.3100000000000001E-2</v>
      </c>
      <c r="D135" s="77">
        <v>3.1E-2</v>
      </c>
      <c r="E135" s="77">
        <v>0.43519999999999998</v>
      </c>
      <c r="F135" s="109">
        <f t="shared" si="25"/>
        <v>112.36213235294117</v>
      </c>
      <c r="G135" s="93">
        <f t="shared" si="26"/>
        <v>6.3640000000000002E-2</v>
      </c>
      <c r="H135" s="93">
        <f t="shared" si="27"/>
        <v>7.9899999999999999E-2</v>
      </c>
      <c r="I135" s="93">
        <f t="shared" si="28"/>
        <v>7.9899999999999999E-2</v>
      </c>
      <c r="J135" s="93">
        <f t="shared" si="29"/>
        <v>7.9899999999999999E-2</v>
      </c>
      <c r="K135" s="85">
        <v>7.9899999999999999E-2</v>
      </c>
      <c r="L135" s="85" t="s">
        <v>70</v>
      </c>
      <c r="M135" s="85" t="s">
        <v>174</v>
      </c>
      <c r="N135" s="79" t="str">
        <f t="shared" si="7"/>
        <v>Ja</v>
      </c>
      <c r="O135" s="79">
        <f t="shared" si="8"/>
        <v>400</v>
      </c>
      <c r="P135" s="115">
        <f t="shared" si="9"/>
        <v>112.36199999999999</v>
      </c>
      <c r="Z135" s="85" t="str">
        <f>""</f>
        <v/>
      </c>
      <c r="AA135" s="85">
        <v>15</v>
      </c>
    </row>
    <row r="136" spans="1:27" x14ac:dyDescent="0.2">
      <c r="A136" s="85" t="s">
        <v>84</v>
      </c>
      <c r="B136" s="110">
        <v>6.9599999999999995E-2</v>
      </c>
      <c r="C136" s="77">
        <v>1.3100000000000001E-2</v>
      </c>
      <c r="D136" s="77">
        <v>3.1E-2</v>
      </c>
      <c r="E136" s="77">
        <v>0.43859999999999999</v>
      </c>
      <c r="F136" s="109">
        <f t="shared" si="25"/>
        <v>88.007295941632449</v>
      </c>
      <c r="G136" s="93">
        <f t="shared" si="26"/>
        <v>6.3894999999999993E-2</v>
      </c>
      <c r="H136" s="93">
        <f t="shared" si="27"/>
        <v>6.9599999999999995E-2</v>
      </c>
      <c r="I136" s="93">
        <f t="shared" si="28"/>
        <v>6.9599999999999995E-2</v>
      </c>
      <c r="J136" s="93">
        <f t="shared" si="29"/>
        <v>6.9599999999999995E-2</v>
      </c>
      <c r="K136" s="85">
        <v>6.9599999999999995E-2</v>
      </c>
      <c r="L136" s="85" t="s">
        <v>70</v>
      </c>
      <c r="M136" s="85" t="s">
        <v>174</v>
      </c>
      <c r="N136" s="79" t="str">
        <f t="shared" si="7"/>
        <v>Ja</v>
      </c>
      <c r="O136" s="79">
        <f t="shared" si="8"/>
        <v>400</v>
      </c>
      <c r="P136" s="115">
        <f t="shared" si="9"/>
        <v>88.007000000000005</v>
      </c>
      <c r="Z136" s="85" t="str">
        <f>""</f>
        <v/>
      </c>
      <c r="AA136" s="85">
        <v>15</v>
      </c>
    </row>
    <row r="137" spans="1:27" x14ac:dyDescent="0.2">
      <c r="A137" s="85" t="s">
        <v>85</v>
      </c>
      <c r="B137" s="110">
        <v>6.2700000000000006E-2</v>
      </c>
      <c r="C137" s="77">
        <v>1.3100000000000001E-2</v>
      </c>
      <c r="D137" s="77">
        <v>3.1E-2</v>
      </c>
      <c r="E137" s="77">
        <v>0.43690000000000001</v>
      </c>
      <c r="F137" s="109">
        <f t="shared" si="25"/>
        <v>72.556649118791498</v>
      </c>
      <c r="G137" s="93">
        <f t="shared" si="26"/>
        <v>6.2700000000000006E-2</v>
      </c>
      <c r="H137" s="93">
        <f t="shared" si="27"/>
        <v>6.2700000000000006E-2</v>
      </c>
      <c r="I137" s="93">
        <f t="shared" si="28"/>
        <v>6.2700000000000006E-2</v>
      </c>
      <c r="J137" s="93">
        <f t="shared" si="29"/>
        <v>6.2700000000000006E-2</v>
      </c>
      <c r="K137" s="85">
        <v>6.2700000000000006E-2</v>
      </c>
      <c r="L137" s="85" t="s">
        <v>70</v>
      </c>
      <c r="M137" s="85" t="s">
        <v>174</v>
      </c>
      <c r="N137" s="79" t="str">
        <f t="shared" si="7"/>
        <v>Ja</v>
      </c>
      <c r="O137" s="79">
        <f t="shared" si="8"/>
        <v>400</v>
      </c>
      <c r="P137" s="115">
        <f t="shared" si="9"/>
        <v>72.557000000000002</v>
      </c>
      <c r="Z137" s="85" t="str">
        <f>""</f>
        <v/>
      </c>
      <c r="AA137" s="85">
        <v>15</v>
      </c>
    </row>
    <row r="138" spans="1:27" x14ac:dyDescent="0.2">
      <c r="A138" s="85" t="s">
        <v>86</v>
      </c>
      <c r="B138" s="110">
        <v>7.9899999999999999E-2</v>
      </c>
      <c r="C138" s="77">
        <v>1.3100000000000001E-2</v>
      </c>
      <c r="D138" s="77">
        <v>3.1E-2</v>
      </c>
      <c r="E138" s="77">
        <v>0.43519999999999998</v>
      </c>
      <c r="F138" s="109">
        <f t="shared" si="25"/>
        <v>112.36213235294117</v>
      </c>
      <c r="G138" s="93">
        <f t="shared" si="26"/>
        <v>6.3640000000000002E-2</v>
      </c>
      <c r="H138" s="93">
        <f t="shared" si="27"/>
        <v>7.9899999999999999E-2</v>
      </c>
      <c r="I138" s="93">
        <f t="shared" si="28"/>
        <v>7.9899999999999999E-2</v>
      </c>
      <c r="J138" s="93">
        <f t="shared" si="29"/>
        <v>7.9899999999999999E-2</v>
      </c>
      <c r="K138" s="85">
        <v>7.9899999999999999E-2</v>
      </c>
      <c r="L138" s="85" t="s">
        <v>70</v>
      </c>
      <c r="M138" s="85" t="s">
        <v>174</v>
      </c>
      <c r="N138" s="79" t="str">
        <f t="shared" si="7"/>
        <v>Ja</v>
      </c>
      <c r="O138" s="79">
        <f t="shared" si="8"/>
        <v>400</v>
      </c>
      <c r="P138" s="115">
        <f t="shared" si="9"/>
        <v>112.36199999999999</v>
      </c>
      <c r="Z138" s="85" t="str">
        <f>""</f>
        <v/>
      </c>
      <c r="AA138" s="85">
        <v>15</v>
      </c>
    </row>
    <row r="139" spans="1:27" x14ac:dyDescent="0.2">
      <c r="A139" s="85" t="s">
        <v>87</v>
      </c>
      <c r="B139" s="110">
        <v>6.9599999999999995E-2</v>
      </c>
      <c r="C139" s="77">
        <v>1.3100000000000001E-2</v>
      </c>
      <c r="D139" s="77">
        <v>3.1E-2</v>
      </c>
      <c r="E139" s="77">
        <v>0.43859999999999999</v>
      </c>
      <c r="F139" s="109">
        <f t="shared" si="25"/>
        <v>88.007295941632449</v>
      </c>
      <c r="G139" s="93">
        <f t="shared" si="26"/>
        <v>6.3894999999999993E-2</v>
      </c>
      <c r="H139" s="93">
        <f t="shared" si="27"/>
        <v>6.9599999999999995E-2</v>
      </c>
      <c r="I139" s="93">
        <f t="shared" si="28"/>
        <v>6.9599999999999995E-2</v>
      </c>
      <c r="J139" s="93">
        <f t="shared" si="29"/>
        <v>6.9599999999999995E-2</v>
      </c>
      <c r="K139" s="85">
        <v>6.9599999999999995E-2</v>
      </c>
      <c r="L139" s="85" t="s">
        <v>70</v>
      </c>
      <c r="M139" s="85" t="s">
        <v>174</v>
      </c>
      <c r="N139" s="79" t="str">
        <f t="shared" si="7"/>
        <v>Ja</v>
      </c>
      <c r="O139" s="79">
        <f t="shared" si="8"/>
        <v>400</v>
      </c>
      <c r="P139" s="115">
        <f t="shared" si="9"/>
        <v>88.007000000000005</v>
      </c>
      <c r="Z139" s="85" t="str">
        <f>""</f>
        <v/>
      </c>
      <c r="AA139" s="85">
        <v>15</v>
      </c>
    </row>
    <row r="140" spans="1:27" x14ac:dyDescent="0.2">
      <c r="A140" s="85" t="s">
        <v>88</v>
      </c>
      <c r="B140" s="110">
        <v>6.2700000000000006E-2</v>
      </c>
      <c r="C140" s="77">
        <v>1.3100000000000001E-2</v>
      </c>
      <c r="D140" s="77">
        <v>3.1E-2</v>
      </c>
      <c r="E140" s="77">
        <v>0.43690000000000001</v>
      </c>
      <c r="F140" s="109">
        <f t="shared" si="25"/>
        <v>72.556649118791498</v>
      </c>
      <c r="G140" s="93">
        <f t="shared" si="26"/>
        <v>6.2700000000000006E-2</v>
      </c>
      <c r="H140" s="93">
        <f t="shared" si="27"/>
        <v>6.2700000000000006E-2</v>
      </c>
      <c r="I140" s="93">
        <f t="shared" si="28"/>
        <v>6.2700000000000006E-2</v>
      </c>
      <c r="J140" s="93">
        <f t="shared" si="29"/>
        <v>6.2700000000000006E-2</v>
      </c>
      <c r="K140" s="85">
        <v>6.2700000000000006E-2</v>
      </c>
      <c r="L140" s="85" t="s">
        <v>70</v>
      </c>
      <c r="M140" s="85" t="s">
        <v>174</v>
      </c>
      <c r="N140" s="79" t="str">
        <f t="shared" si="7"/>
        <v>Ja</v>
      </c>
      <c r="O140" s="79">
        <f t="shared" si="8"/>
        <v>400</v>
      </c>
      <c r="P140" s="115">
        <f t="shared" si="9"/>
        <v>72.557000000000002</v>
      </c>
      <c r="Z140" s="85" t="str">
        <f>""</f>
        <v/>
      </c>
      <c r="AA140" s="85">
        <v>15</v>
      </c>
    </row>
    <row r="141" spans="1:27" x14ac:dyDescent="0.2">
      <c r="A141" s="85" t="s">
        <v>153</v>
      </c>
      <c r="B141" s="110">
        <v>0.185</v>
      </c>
      <c r="C141" s="77">
        <v>1.3100000000000001E-2</v>
      </c>
      <c r="D141" s="77">
        <v>2.2699999999999998E-2</v>
      </c>
      <c r="E141" s="77">
        <v>0.4304</v>
      </c>
      <c r="F141" s="109">
        <f t="shared" si="25"/>
        <v>377.09107806691452</v>
      </c>
      <c r="G141" s="93">
        <f t="shared" si="26"/>
        <v>5.4980000000000001E-2</v>
      </c>
      <c r="H141" s="93">
        <f t="shared" si="27"/>
        <v>8.7260000000000004E-2</v>
      </c>
      <c r="I141" s="93">
        <f t="shared" si="28"/>
        <v>0.11954000000000001</v>
      </c>
      <c r="J141" s="93">
        <f t="shared" si="29"/>
        <v>0.15182000000000001</v>
      </c>
      <c r="K141" s="85">
        <v>0.185</v>
      </c>
      <c r="L141" s="85" t="s">
        <v>70</v>
      </c>
      <c r="M141" s="85" t="s">
        <v>174</v>
      </c>
      <c r="N141" s="79" t="str">
        <f t="shared" si="7"/>
        <v>Ja</v>
      </c>
      <c r="O141" s="79">
        <f t="shared" si="8"/>
        <v>400</v>
      </c>
      <c r="P141" s="115">
        <f t="shared" si="9"/>
        <v>377.09100000000001</v>
      </c>
      <c r="Z141" s="85" t="s">
        <v>223</v>
      </c>
      <c r="AA141" s="85">
        <v>15</v>
      </c>
    </row>
    <row r="142" spans="1:27" x14ac:dyDescent="0.2">
      <c r="A142" s="85" t="s">
        <v>154</v>
      </c>
      <c r="B142" s="110">
        <v>0.16470000000000001</v>
      </c>
      <c r="C142" s="77">
        <v>1.3100000000000001E-2</v>
      </c>
      <c r="D142" s="77">
        <v>2.2699999999999998E-2</v>
      </c>
      <c r="E142" s="77">
        <v>0.4304</v>
      </c>
      <c r="F142" s="109">
        <f t="shared" si="25"/>
        <v>329.92565055762088</v>
      </c>
      <c r="G142" s="93">
        <f t="shared" si="26"/>
        <v>5.4980000000000001E-2</v>
      </c>
      <c r="H142" s="93">
        <f t="shared" si="27"/>
        <v>8.7260000000000004E-2</v>
      </c>
      <c r="I142" s="93">
        <f t="shared" si="28"/>
        <v>0.11954000000000001</v>
      </c>
      <c r="J142" s="93">
        <f t="shared" si="29"/>
        <v>0.15182000000000001</v>
      </c>
      <c r="K142" s="85">
        <v>0.16470000000000001</v>
      </c>
      <c r="L142" s="85" t="s">
        <v>70</v>
      </c>
      <c r="M142" s="85" t="s">
        <v>174</v>
      </c>
      <c r="N142" s="79" t="str">
        <f t="shared" si="7"/>
        <v>Ja</v>
      </c>
      <c r="O142" s="79">
        <f t="shared" si="8"/>
        <v>400</v>
      </c>
      <c r="P142" s="115">
        <f t="shared" si="9"/>
        <v>329.92599999999999</v>
      </c>
      <c r="Z142" s="85" t="s">
        <v>223</v>
      </c>
      <c r="AA142" s="85">
        <v>15</v>
      </c>
    </row>
    <row r="143" spans="1:27" x14ac:dyDescent="0.2">
      <c r="A143" s="85" t="s">
        <v>89</v>
      </c>
      <c r="B143" s="110">
        <v>9.9699999999999997E-2</v>
      </c>
      <c r="C143" s="77">
        <v>1.3100000000000001E-2</v>
      </c>
      <c r="D143" s="77">
        <v>2.2699999999999998E-2</v>
      </c>
      <c r="E143" s="77">
        <v>0.43790000000000001</v>
      </c>
      <c r="F143" s="109">
        <f t="shared" si="25"/>
        <v>175.83923270153002</v>
      </c>
      <c r="G143" s="93">
        <f t="shared" si="26"/>
        <v>5.5542500000000002E-2</v>
      </c>
      <c r="H143" s="93">
        <f t="shared" si="27"/>
        <v>8.8385000000000005E-2</v>
      </c>
      <c r="I143" s="93">
        <f t="shared" si="28"/>
        <v>9.9699999999999997E-2</v>
      </c>
      <c r="J143" s="93">
        <f t="shared" si="29"/>
        <v>9.9699999999999997E-2</v>
      </c>
      <c r="K143" s="85">
        <v>9.9699999999999997E-2</v>
      </c>
      <c r="L143" s="85" t="s">
        <v>70</v>
      </c>
      <c r="M143" s="85" t="s">
        <v>174</v>
      </c>
      <c r="N143" s="79" t="str">
        <f t="shared" si="7"/>
        <v>Ja</v>
      </c>
      <c r="O143" s="79">
        <f t="shared" si="8"/>
        <v>400</v>
      </c>
      <c r="P143" s="115">
        <f t="shared" si="9"/>
        <v>175.839</v>
      </c>
      <c r="Z143" s="85" t="s">
        <v>223</v>
      </c>
      <c r="AA143" s="85">
        <v>15</v>
      </c>
    </row>
    <row r="144" spans="1:27" x14ac:dyDescent="0.2">
      <c r="A144" s="85" t="s">
        <v>19</v>
      </c>
      <c r="B144" s="110">
        <v>4.7699999999999999E-2</v>
      </c>
      <c r="C144" s="77">
        <v>1.3100000000000001E-2</v>
      </c>
      <c r="D144" s="77">
        <v>3.1E-2</v>
      </c>
      <c r="E144" s="77">
        <v>0.43859999999999999</v>
      </c>
      <c r="F144" s="109">
        <f t="shared" si="25"/>
        <v>38.075695394436842</v>
      </c>
      <c r="G144" s="93">
        <f t="shared" si="26"/>
        <v>4.7699999999999999E-2</v>
      </c>
      <c r="H144" s="93">
        <f t="shared" si="27"/>
        <v>4.7699999999999999E-2</v>
      </c>
      <c r="I144" s="93">
        <f t="shared" si="28"/>
        <v>4.7699999999999999E-2</v>
      </c>
      <c r="J144" s="93">
        <f t="shared" si="29"/>
        <v>4.7699999999999999E-2</v>
      </c>
      <c r="K144" s="85">
        <v>4.7699999999999999E-2</v>
      </c>
      <c r="L144" s="85" t="s">
        <v>70</v>
      </c>
      <c r="M144" s="85" t="s">
        <v>174</v>
      </c>
      <c r="N144" s="79" t="str">
        <f t="shared" si="7"/>
        <v>Ja</v>
      </c>
      <c r="O144" s="79">
        <f t="shared" si="8"/>
        <v>400</v>
      </c>
      <c r="P144" s="115">
        <f t="shared" si="9"/>
        <v>38.076000000000001</v>
      </c>
      <c r="Z144" s="85" t="str">
        <f>""</f>
        <v/>
      </c>
      <c r="AA144" s="85">
        <v>15</v>
      </c>
    </row>
    <row r="145" spans="1:27" x14ac:dyDescent="0.2">
      <c r="A145" s="85"/>
      <c r="B145" s="110"/>
      <c r="C145" s="77"/>
      <c r="D145" s="77"/>
      <c r="E145" s="77"/>
      <c r="F145" s="109"/>
      <c r="G145" s="93"/>
      <c r="H145" s="93"/>
      <c r="I145" s="93"/>
      <c r="J145" s="93"/>
      <c r="K145" s="85"/>
      <c r="L145" s="85"/>
      <c r="M145" s="85"/>
      <c r="N145" s="79"/>
      <c r="O145" s="79"/>
      <c r="P145" s="115"/>
      <c r="Z145" s="85"/>
      <c r="AA145" s="85"/>
    </row>
    <row r="146" spans="1:27" x14ac:dyDescent="0.2">
      <c r="A146" s="88" t="s">
        <v>20</v>
      </c>
      <c r="B146" s="110"/>
      <c r="C146" s="77"/>
      <c r="D146" s="77"/>
      <c r="E146" s="77"/>
      <c r="F146" s="109"/>
      <c r="G146" s="93"/>
      <c r="H146" s="93"/>
      <c r="I146" s="93"/>
      <c r="J146" s="93"/>
      <c r="K146" s="85"/>
      <c r="L146" s="85"/>
      <c r="M146" s="85"/>
      <c r="N146" s="79"/>
      <c r="O146" s="79"/>
      <c r="P146" s="115"/>
      <c r="Z146" s="85"/>
      <c r="AA146" s="85"/>
    </row>
    <row r="147" spans="1:27" x14ac:dyDescent="0.2">
      <c r="A147" s="85" t="s">
        <v>139</v>
      </c>
      <c r="B147" s="110">
        <v>9.5399999999999999E-2</v>
      </c>
      <c r="C147" s="77">
        <v>1.3100000000000001E-2</v>
      </c>
      <c r="D147" s="77">
        <v>2.2699999999999998E-2</v>
      </c>
      <c r="E147" s="77">
        <v>0.18179999999999999</v>
      </c>
      <c r="F147" s="109">
        <f>(B147-D147)*1000/E147</f>
        <v>399.88998899889992</v>
      </c>
      <c r="G147" s="93">
        <f>MIN($B147,(75*$E147/1000)+$D147)</f>
        <v>3.6334999999999999E-2</v>
      </c>
      <c r="H147" s="93">
        <f>MIN($B147,(150*$E147/1000)+$D147)</f>
        <v>4.9970000000000001E-2</v>
      </c>
      <c r="I147" s="93">
        <f>MIN($B147,(225*$E147/1000)+$D147)</f>
        <v>6.3604999999999995E-2</v>
      </c>
      <c r="J147" s="93">
        <f>MIN($B147,(300*$E147/1000)+$D147)</f>
        <v>7.7240000000000003E-2</v>
      </c>
      <c r="K147" s="85">
        <v>9.5399999999999999E-2</v>
      </c>
      <c r="L147" s="85" t="s">
        <v>70</v>
      </c>
      <c r="M147" s="85" t="s">
        <v>174</v>
      </c>
      <c r="N147" s="79" t="str">
        <f t="shared" si="7"/>
        <v>Ja</v>
      </c>
      <c r="O147" s="79">
        <f t="shared" si="8"/>
        <v>400</v>
      </c>
      <c r="P147" s="115">
        <f t="shared" si="9"/>
        <v>399.89</v>
      </c>
      <c r="Z147" s="85" t="s">
        <v>224</v>
      </c>
      <c r="AA147" s="85">
        <v>15</v>
      </c>
    </row>
    <row r="148" spans="1:27" x14ac:dyDescent="0.2">
      <c r="A148" s="85" t="s">
        <v>138</v>
      </c>
      <c r="B148" s="110">
        <v>8.7599999999999997E-2</v>
      </c>
      <c r="C148" s="77">
        <v>1.3100000000000001E-2</v>
      </c>
      <c r="D148" s="77">
        <v>2.2699999999999998E-2</v>
      </c>
      <c r="E148" s="77">
        <v>0.1827</v>
      </c>
      <c r="F148" s="109">
        <f>(B148-D148)*1000/E148</f>
        <v>355.22714833059666</v>
      </c>
      <c r="G148" s="93">
        <f>MIN($B148,(75*$E148/1000)+$D148)</f>
        <v>3.6402499999999997E-2</v>
      </c>
      <c r="H148" s="93">
        <f>MIN($B148,(150*$E148/1000)+$D148)</f>
        <v>5.0104999999999997E-2</v>
      </c>
      <c r="I148" s="93">
        <f>MIN($B148,(225*$E148/1000)+$D148)</f>
        <v>6.3807500000000003E-2</v>
      </c>
      <c r="J148" s="93">
        <f>MIN($B148,(300*$E148/1000)+$D148)</f>
        <v>7.7509999999999996E-2</v>
      </c>
      <c r="K148" s="85">
        <v>8.7599999999999997E-2</v>
      </c>
      <c r="L148" s="85" t="s">
        <v>70</v>
      </c>
      <c r="M148" s="85" t="s">
        <v>174</v>
      </c>
      <c r="N148" s="79" t="str">
        <f t="shared" si="7"/>
        <v>Ja</v>
      </c>
      <c r="O148" s="79">
        <f t="shared" si="8"/>
        <v>400</v>
      </c>
      <c r="P148" s="115">
        <f t="shared" si="9"/>
        <v>355.22699999999998</v>
      </c>
      <c r="Z148" s="85" t="s">
        <v>225</v>
      </c>
      <c r="AA148" s="85">
        <v>15</v>
      </c>
    </row>
    <row r="149" spans="1:27" x14ac:dyDescent="0.2">
      <c r="A149" s="85" t="s">
        <v>226</v>
      </c>
      <c r="B149" s="110">
        <v>9.6799999999999997E-2</v>
      </c>
      <c r="C149" s="77">
        <v>1.3100000000000001E-2</v>
      </c>
      <c r="D149" s="77">
        <v>2.2699999999999998E-2</v>
      </c>
      <c r="E149" s="77">
        <v>0.1852</v>
      </c>
      <c r="F149" s="109">
        <f>(B149-D149)*1000/E149</f>
        <v>400.10799136069113</v>
      </c>
      <c r="G149" s="93">
        <f>MIN($B149,(75*$E149/1000)+$D149)</f>
        <v>3.6589999999999998E-2</v>
      </c>
      <c r="H149" s="93">
        <f>MIN($B149,(150*$E149/1000)+$D149)</f>
        <v>5.0479999999999997E-2</v>
      </c>
      <c r="I149" s="93">
        <f>MIN($B149,(225*$E149/1000)+$D149)</f>
        <v>6.4369999999999997E-2</v>
      </c>
      <c r="J149" s="93">
        <f>MIN($B149,(300*$E149/1000)+$D149)</f>
        <v>7.8259999999999996E-2</v>
      </c>
      <c r="K149" s="85">
        <v>9.6799999999999997E-2</v>
      </c>
      <c r="L149" s="85" t="s">
        <v>70</v>
      </c>
      <c r="M149" s="85" t="s">
        <v>174</v>
      </c>
      <c r="N149" s="79" t="str">
        <f t="shared" si="7"/>
        <v>Ja</v>
      </c>
      <c r="O149" s="79">
        <f t="shared" si="8"/>
        <v>400</v>
      </c>
      <c r="P149" s="115">
        <f t="shared" si="9"/>
        <v>400.108</v>
      </c>
      <c r="Z149" s="85" t="s">
        <v>227</v>
      </c>
      <c r="AA149" s="85">
        <v>15</v>
      </c>
    </row>
    <row r="150" spans="1:27" x14ac:dyDescent="0.2">
      <c r="A150" s="85" t="s">
        <v>228</v>
      </c>
      <c r="B150" s="110">
        <v>9.9599999999999994E-2</v>
      </c>
      <c r="C150" s="77">
        <v>1.3100000000000001E-2</v>
      </c>
      <c r="D150" s="77">
        <v>3.1E-2</v>
      </c>
      <c r="E150" s="77">
        <v>0.18390000000000001</v>
      </c>
      <c r="F150" s="109">
        <f>(B150-D150)*1000/E150</f>
        <v>373.02882001087545</v>
      </c>
      <c r="G150" s="93">
        <f>MIN($B150,(75*$E150/1000)+$D150)</f>
        <v>4.4792499999999999E-2</v>
      </c>
      <c r="H150" s="93">
        <f>MIN($B150,(150*$E150/1000)+$D150)</f>
        <v>5.8584999999999998E-2</v>
      </c>
      <c r="I150" s="93">
        <f>MIN($B150,(225*$E150/1000)+$D150)</f>
        <v>7.2377500000000011E-2</v>
      </c>
      <c r="J150" s="93">
        <f>MIN($B150,(300*$E150/1000)+$D150)</f>
        <v>8.6169999999999997E-2</v>
      </c>
      <c r="K150" s="85">
        <v>9.9599999999999994E-2</v>
      </c>
      <c r="L150" s="85" t="s">
        <v>70</v>
      </c>
      <c r="M150" s="85" t="s">
        <v>174</v>
      </c>
      <c r="N150" s="79" t="str">
        <f t="shared" si="7"/>
        <v>Ja</v>
      </c>
      <c r="O150" s="79">
        <f t="shared" si="8"/>
        <v>400</v>
      </c>
      <c r="P150" s="115">
        <f t="shared" si="9"/>
        <v>373.029</v>
      </c>
      <c r="Z150" s="85" t="s">
        <v>221</v>
      </c>
      <c r="AA150" s="85">
        <v>15</v>
      </c>
    </row>
    <row r="151" spans="1:27" x14ac:dyDescent="0.2">
      <c r="A151" s="85"/>
      <c r="B151" s="110"/>
      <c r="C151" s="77"/>
      <c r="D151" s="77"/>
      <c r="E151" s="77"/>
      <c r="F151" s="109"/>
      <c r="G151" s="93"/>
      <c r="H151" s="93"/>
      <c r="I151" s="93"/>
      <c r="J151" s="93"/>
      <c r="K151" s="85"/>
      <c r="L151" s="85"/>
      <c r="M151" s="85"/>
      <c r="N151" s="79"/>
      <c r="O151" s="79"/>
      <c r="P151" s="115"/>
      <c r="Z151" s="85"/>
      <c r="AA151" s="85"/>
    </row>
    <row r="152" spans="1:27" x14ac:dyDescent="0.2">
      <c r="A152" s="88" t="s">
        <v>109</v>
      </c>
      <c r="B152" s="110"/>
      <c r="C152" s="77"/>
      <c r="D152" s="77"/>
      <c r="E152" s="77"/>
      <c r="F152" s="109"/>
      <c r="G152" s="93"/>
      <c r="H152" s="93"/>
      <c r="I152" s="93"/>
      <c r="J152" s="93"/>
      <c r="K152" s="85"/>
      <c r="L152" s="85"/>
      <c r="M152" s="85"/>
      <c r="N152" s="79"/>
      <c r="O152" s="79"/>
      <c r="P152" s="115"/>
      <c r="Z152" s="85"/>
      <c r="AA152" s="85"/>
    </row>
    <row r="153" spans="1:27" x14ac:dyDescent="0.2">
      <c r="A153" s="85" t="s">
        <v>140</v>
      </c>
      <c r="B153" s="110">
        <v>0.14030000000000001</v>
      </c>
      <c r="C153" s="77">
        <v>4.65E-2</v>
      </c>
      <c r="D153" s="77">
        <v>6.8200000000000011E-2</v>
      </c>
      <c r="E153" s="77">
        <v>0.18240000000000001</v>
      </c>
      <c r="F153" s="109">
        <f>(B153-D153)*1000/E153</f>
        <v>395.28508771929819</v>
      </c>
      <c r="G153" s="93">
        <f>MIN($B153,(75*$E153/1000)+$D153)</f>
        <v>8.1880000000000008E-2</v>
      </c>
      <c r="H153" s="93">
        <f>MIN($B153,(150*$E153/1000)+$D153)</f>
        <v>9.5560000000000006E-2</v>
      </c>
      <c r="I153" s="93">
        <f>MIN($B153,(225*$E153/1000)+$D153)</f>
        <v>0.10924</v>
      </c>
      <c r="J153" s="93">
        <f>MIN($B153,(300*$E153/1000)+$D153)</f>
        <v>0.12292</v>
      </c>
      <c r="K153" s="85">
        <v>0.14030000000000001</v>
      </c>
      <c r="L153" s="85" t="s">
        <v>70</v>
      </c>
      <c r="M153" s="85" t="s">
        <v>174</v>
      </c>
      <c r="N153" s="79" t="str">
        <f t="shared" si="7"/>
        <v>Ja</v>
      </c>
      <c r="O153" s="79">
        <f t="shared" si="8"/>
        <v>400</v>
      </c>
      <c r="P153" s="115">
        <f t="shared" si="9"/>
        <v>395.28500000000003</v>
      </c>
      <c r="Z153" s="85" t="s">
        <v>229</v>
      </c>
      <c r="AA153" s="85">
        <v>15</v>
      </c>
    </row>
    <row r="154" spans="1:27" x14ac:dyDescent="0.2">
      <c r="A154" s="85" t="s">
        <v>155</v>
      </c>
      <c r="B154" s="110">
        <v>7.8200000000000006E-2</v>
      </c>
      <c r="C154" s="77">
        <v>1.3100000000000001E-2</v>
      </c>
      <c r="D154" s="77">
        <v>3.1E-2</v>
      </c>
      <c r="E154" s="77">
        <v>0.1925</v>
      </c>
      <c r="F154" s="109">
        <f>(B154-D154)*1000/E154</f>
        <v>245.19480519480521</v>
      </c>
      <c r="G154" s="93">
        <f>MIN($B154,(75*$E154/1000)+$D154)</f>
        <v>4.5437499999999999E-2</v>
      </c>
      <c r="H154" s="93">
        <f>MIN($B154,(150*$E154/1000)+$D154)</f>
        <v>5.9874999999999998E-2</v>
      </c>
      <c r="I154" s="93">
        <f>MIN($B154,(225*$E154/1000)+$D154)</f>
        <v>7.4312500000000004E-2</v>
      </c>
      <c r="J154" s="93">
        <f>MIN($B154,(300*$E154/1000)+$D154)</f>
        <v>7.8200000000000006E-2</v>
      </c>
      <c r="K154" s="85">
        <v>7.8200000000000006E-2</v>
      </c>
      <c r="L154" s="85" t="s">
        <v>70</v>
      </c>
      <c r="M154" s="85" t="s">
        <v>174</v>
      </c>
      <c r="N154" s="79" t="str">
        <f t="shared" si="7"/>
        <v>Ja</v>
      </c>
      <c r="O154" s="79">
        <f t="shared" si="8"/>
        <v>400</v>
      </c>
      <c r="P154" s="115">
        <f t="shared" si="9"/>
        <v>245.19499999999999</v>
      </c>
      <c r="Z154" s="85" t="s">
        <v>230</v>
      </c>
      <c r="AA154" s="85">
        <v>15</v>
      </c>
    </row>
    <row r="155" spans="1:27" x14ac:dyDescent="0.2">
      <c r="A155" s="85"/>
      <c r="B155" s="110"/>
      <c r="C155" s="77"/>
      <c r="D155" s="77"/>
      <c r="E155" s="77"/>
      <c r="F155" s="109"/>
      <c r="G155" s="93"/>
      <c r="H155" s="93"/>
      <c r="I155" s="93"/>
      <c r="J155" s="93"/>
      <c r="K155" s="85"/>
      <c r="L155" s="85"/>
      <c r="M155" s="85"/>
      <c r="N155" s="79"/>
      <c r="O155" s="79"/>
      <c r="P155" s="115"/>
      <c r="Z155" s="85"/>
      <c r="AA155" s="85"/>
    </row>
    <row r="156" spans="1:27" x14ac:dyDescent="0.2">
      <c r="A156" s="88" t="s">
        <v>0</v>
      </c>
      <c r="B156" s="113"/>
      <c r="C156" s="77"/>
      <c r="D156" s="77"/>
      <c r="E156" s="77"/>
      <c r="F156" s="109"/>
      <c r="G156" s="93"/>
      <c r="H156" s="93"/>
      <c r="I156" s="93"/>
      <c r="J156" s="93"/>
      <c r="K156" s="85"/>
      <c r="L156" s="85"/>
      <c r="M156" s="85"/>
      <c r="N156" s="79"/>
      <c r="O156" s="79"/>
      <c r="P156" s="115"/>
      <c r="Z156" s="85"/>
      <c r="AA156" s="85"/>
    </row>
    <row r="157" spans="1:27" x14ac:dyDescent="0.2">
      <c r="A157" s="85" t="s">
        <v>156</v>
      </c>
      <c r="B157" s="110">
        <v>6.5199999999999994E-2</v>
      </c>
      <c r="C157" s="91">
        <v>3.8300000000000001E-2</v>
      </c>
      <c r="D157" s="91">
        <v>5.9400000000000001E-2</v>
      </c>
      <c r="E157" s="91">
        <v>0.11070000000000001</v>
      </c>
      <c r="F157" s="109">
        <f t="shared" ref="F157:F171" si="30">(B157-D157)*1000/E157</f>
        <v>52.393857271905986</v>
      </c>
      <c r="G157" s="93">
        <f t="shared" ref="G157:G171" si="31">MIN($B157,(75*$E157/1000)+$D157)</f>
        <v>6.5199999999999994E-2</v>
      </c>
      <c r="H157" s="93">
        <f t="shared" ref="H157:H171" si="32">MIN($B157,(150*$E157/1000)+$D157)</f>
        <v>6.5199999999999994E-2</v>
      </c>
      <c r="I157" s="93">
        <f t="shared" ref="I157:I171" si="33">MIN($B157,(225*$E157/1000)+$D157)</f>
        <v>6.5199999999999994E-2</v>
      </c>
      <c r="J157" s="93">
        <f t="shared" ref="J157:J171" si="34">MIN($B157,(300*$E157/1000)+$D157)</f>
        <v>6.5199999999999994E-2</v>
      </c>
      <c r="K157" s="129">
        <v>6.5199999999999994E-2</v>
      </c>
      <c r="L157" s="85" t="s">
        <v>70</v>
      </c>
      <c r="M157" s="85"/>
      <c r="N157" s="79" t="str">
        <f t="shared" ref="N157:N220" si="35">IF(M157="","Nee","Ja")</f>
        <v>Nee</v>
      </c>
      <c r="O157" s="79">
        <f t="shared" ref="O157:O220" si="36">IF(N157="Nee",300,400)</f>
        <v>300</v>
      </c>
      <c r="P157" s="115">
        <f t="shared" ref="P157:P220" si="37">ROUND(((B157-D157)*1000/E157),3)</f>
        <v>52.393999999999998</v>
      </c>
      <c r="Z157" s="85" t="str">
        <f>""</f>
        <v/>
      </c>
      <c r="AA157" s="85">
        <v>20</v>
      </c>
    </row>
    <row r="158" spans="1:27" x14ac:dyDescent="0.2">
      <c r="A158" s="85" t="s">
        <v>3</v>
      </c>
      <c r="B158" s="110">
        <v>7.1099999999999997E-2</v>
      </c>
      <c r="C158" s="91">
        <v>3.8300000000000001E-2</v>
      </c>
      <c r="D158" s="91">
        <v>5.9400000000000001E-2</v>
      </c>
      <c r="E158" s="91">
        <v>0.11070000000000001</v>
      </c>
      <c r="F158" s="109">
        <f t="shared" si="30"/>
        <v>105.69105691056906</v>
      </c>
      <c r="G158" s="93">
        <f t="shared" si="31"/>
        <v>6.7702499999999999E-2</v>
      </c>
      <c r="H158" s="93">
        <f t="shared" si="32"/>
        <v>7.1099999999999997E-2</v>
      </c>
      <c r="I158" s="93">
        <f t="shared" si="33"/>
        <v>7.1099999999999997E-2</v>
      </c>
      <c r="J158" s="93">
        <f t="shared" si="34"/>
        <v>7.1099999999999997E-2</v>
      </c>
      <c r="K158" s="129">
        <v>7.1099999999999997E-2</v>
      </c>
      <c r="L158" s="85" t="s">
        <v>70</v>
      </c>
      <c r="M158" s="85"/>
      <c r="N158" s="79" t="str">
        <f t="shared" si="35"/>
        <v>Nee</v>
      </c>
      <c r="O158" s="79">
        <f t="shared" si="36"/>
        <v>300</v>
      </c>
      <c r="P158" s="115">
        <f t="shared" si="37"/>
        <v>105.691</v>
      </c>
      <c r="Z158" s="85" t="str">
        <f>""</f>
        <v/>
      </c>
      <c r="AA158" s="85">
        <v>20</v>
      </c>
    </row>
    <row r="159" spans="1:27" x14ac:dyDescent="0.2">
      <c r="A159" s="85" t="s">
        <v>4</v>
      </c>
      <c r="B159" s="110">
        <v>7.7200000000000005E-2</v>
      </c>
      <c r="C159" s="91">
        <v>3.8300000000000001E-2</v>
      </c>
      <c r="D159" s="91">
        <v>5.9400000000000001E-2</v>
      </c>
      <c r="E159" s="91">
        <v>0.11070000000000001</v>
      </c>
      <c r="F159" s="109">
        <f t="shared" si="30"/>
        <v>160.79494128274618</v>
      </c>
      <c r="G159" s="93">
        <f t="shared" si="31"/>
        <v>6.7702499999999999E-2</v>
      </c>
      <c r="H159" s="93">
        <f t="shared" si="32"/>
        <v>7.6005000000000003E-2</v>
      </c>
      <c r="I159" s="93">
        <f t="shared" si="33"/>
        <v>7.7200000000000005E-2</v>
      </c>
      <c r="J159" s="93">
        <f t="shared" si="34"/>
        <v>7.7200000000000005E-2</v>
      </c>
      <c r="K159" s="129">
        <v>7.7200000000000005E-2</v>
      </c>
      <c r="L159" s="85" t="s">
        <v>70</v>
      </c>
      <c r="M159" s="85"/>
      <c r="N159" s="79" t="str">
        <f t="shared" si="35"/>
        <v>Nee</v>
      </c>
      <c r="O159" s="79">
        <f t="shared" si="36"/>
        <v>300</v>
      </c>
      <c r="P159" s="115">
        <f t="shared" si="37"/>
        <v>160.79499999999999</v>
      </c>
      <c r="Z159" s="85" t="str">
        <f>""</f>
        <v/>
      </c>
      <c r="AA159" s="85">
        <v>20</v>
      </c>
    </row>
    <row r="160" spans="1:27" x14ac:dyDescent="0.2">
      <c r="A160" s="85" t="s">
        <v>9</v>
      </c>
      <c r="B160" s="110">
        <v>8.1799999999999998E-2</v>
      </c>
      <c r="C160" s="91">
        <v>3.8300000000000001E-2</v>
      </c>
      <c r="D160" s="91">
        <v>5.9400000000000001E-2</v>
      </c>
      <c r="E160" s="91">
        <v>0.11070000000000001</v>
      </c>
      <c r="F160" s="109">
        <f t="shared" si="30"/>
        <v>202.34869015356816</v>
      </c>
      <c r="G160" s="93">
        <f t="shared" si="31"/>
        <v>6.7702499999999999E-2</v>
      </c>
      <c r="H160" s="93">
        <f t="shared" si="32"/>
        <v>7.6005000000000003E-2</v>
      </c>
      <c r="I160" s="93">
        <f t="shared" si="33"/>
        <v>8.1799999999999998E-2</v>
      </c>
      <c r="J160" s="93">
        <f t="shared" si="34"/>
        <v>8.1799999999999998E-2</v>
      </c>
      <c r="K160" s="129">
        <v>8.1799999999999998E-2</v>
      </c>
      <c r="L160" s="85" t="s">
        <v>70</v>
      </c>
      <c r="M160" s="85"/>
      <c r="N160" s="79" t="str">
        <f t="shared" si="35"/>
        <v>Nee</v>
      </c>
      <c r="O160" s="79">
        <f t="shared" si="36"/>
        <v>300</v>
      </c>
      <c r="P160" s="115">
        <f t="shared" si="37"/>
        <v>202.34899999999999</v>
      </c>
      <c r="Z160" s="85" t="str">
        <f>""</f>
        <v/>
      </c>
      <c r="AA160" s="85">
        <v>20</v>
      </c>
    </row>
    <row r="161" spans="1:29" x14ac:dyDescent="0.2">
      <c r="A161" s="85" t="s">
        <v>8</v>
      </c>
      <c r="B161" s="110">
        <v>8.72E-2</v>
      </c>
      <c r="C161" s="91">
        <v>3.8300000000000001E-2</v>
      </c>
      <c r="D161" s="91">
        <v>5.9400000000000001E-2</v>
      </c>
      <c r="E161" s="91">
        <v>0.11070000000000001</v>
      </c>
      <c r="F161" s="109">
        <f t="shared" si="30"/>
        <v>251.12917795844621</v>
      </c>
      <c r="G161" s="93">
        <f t="shared" si="31"/>
        <v>6.7702499999999999E-2</v>
      </c>
      <c r="H161" s="93">
        <f t="shared" si="32"/>
        <v>7.6005000000000003E-2</v>
      </c>
      <c r="I161" s="93">
        <f t="shared" si="33"/>
        <v>8.4307500000000007E-2</v>
      </c>
      <c r="J161" s="93">
        <f t="shared" si="34"/>
        <v>8.72E-2</v>
      </c>
      <c r="K161" s="129">
        <v>8.72E-2</v>
      </c>
      <c r="L161" s="85" t="s">
        <v>70</v>
      </c>
      <c r="M161" s="85"/>
      <c r="N161" s="79" t="str">
        <f t="shared" si="35"/>
        <v>Nee</v>
      </c>
      <c r="O161" s="79">
        <f t="shared" si="36"/>
        <v>300</v>
      </c>
      <c r="P161" s="115">
        <f t="shared" si="37"/>
        <v>251.12899999999999</v>
      </c>
      <c r="Z161" s="85" t="str">
        <f>""</f>
        <v/>
      </c>
      <c r="AA161" s="85">
        <v>20</v>
      </c>
    </row>
    <row r="162" spans="1:29" x14ac:dyDescent="0.2">
      <c r="A162" s="85" t="s">
        <v>157</v>
      </c>
      <c r="B162" s="110">
        <v>7.7399999999999997E-2</v>
      </c>
      <c r="C162" s="91">
        <v>3.8300000000000001E-2</v>
      </c>
      <c r="D162" s="91">
        <v>5.9400000000000001E-2</v>
      </c>
      <c r="E162" s="91">
        <v>0.11070000000000001</v>
      </c>
      <c r="F162" s="109">
        <f t="shared" si="30"/>
        <v>162.60162601626013</v>
      </c>
      <c r="G162" s="93">
        <f t="shared" si="31"/>
        <v>6.7702499999999999E-2</v>
      </c>
      <c r="H162" s="93">
        <f t="shared" si="32"/>
        <v>7.6005000000000003E-2</v>
      </c>
      <c r="I162" s="93">
        <f t="shared" si="33"/>
        <v>7.7399999999999997E-2</v>
      </c>
      <c r="J162" s="93">
        <f t="shared" si="34"/>
        <v>7.7399999999999997E-2</v>
      </c>
      <c r="K162" s="129">
        <v>7.7399999999999997E-2</v>
      </c>
      <c r="L162" s="85" t="s">
        <v>70</v>
      </c>
      <c r="M162" s="85"/>
      <c r="N162" s="79" t="str">
        <f t="shared" si="35"/>
        <v>Nee</v>
      </c>
      <c r="O162" s="79">
        <f t="shared" si="36"/>
        <v>300</v>
      </c>
      <c r="P162" s="115">
        <f t="shared" si="37"/>
        <v>162.602</v>
      </c>
      <c r="Z162" s="85" t="str">
        <f>""</f>
        <v/>
      </c>
      <c r="AA162" s="85">
        <v>20</v>
      </c>
    </row>
    <row r="163" spans="1:29" x14ac:dyDescent="0.2">
      <c r="A163" s="85" t="s">
        <v>14</v>
      </c>
      <c r="B163" s="110">
        <v>8.5699999999999998E-2</v>
      </c>
      <c r="C163" s="91">
        <v>3.8300000000000001E-2</v>
      </c>
      <c r="D163" s="91">
        <v>5.9400000000000001E-2</v>
      </c>
      <c r="E163" s="91">
        <v>0.11070000000000001</v>
      </c>
      <c r="F163" s="109">
        <f t="shared" si="30"/>
        <v>237.57904245709119</v>
      </c>
      <c r="G163" s="93">
        <f t="shared" si="31"/>
        <v>6.7702499999999999E-2</v>
      </c>
      <c r="H163" s="93">
        <f t="shared" si="32"/>
        <v>7.6005000000000003E-2</v>
      </c>
      <c r="I163" s="93">
        <f t="shared" si="33"/>
        <v>8.4307500000000007E-2</v>
      </c>
      <c r="J163" s="93">
        <f t="shared" si="34"/>
        <v>8.5699999999999998E-2</v>
      </c>
      <c r="K163" s="129">
        <v>8.5699999999999998E-2</v>
      </c>
      <c r="L163" s="85" t="s">
        <v>70</v>
      </c>
      <c r="M163" s="85"/>
      <c r="N163" s="79" t="str">
        <f t="shared" si="35"/>
        <v>Nee</v>
      </c>
      <c r="O163" s="79">
        <f t="shared" si="36"/>
        <v>300</v>
      </c>
      <c r="P163" s="115">
        <f t="shared" si="37"/>
        <v>237.57900000000001</v>
      </c>
      <c r="Z163" s="85" t="str">
        <f>""</f>
        <v/>
      </c>
      <c r="AA163" s="85">
        <v>20</v>
      </c>
    </row>
    <row r="164" spans="1:29" x14ac:dyDescent="0.2">
      <c r="A164" s="85" t="s">
        <v>15</v>
      </c>
      <c r="B164" s="110">
        <v>9.2600000000000002E-2</v>
      </c>
      <c r="C164" s="91">
        <v>3.8300000000000001E-2</v>
      </c>
      <c r="D164" s="91">
        <v>5.9400000000000001E-2</v>
      </c>
      <c r="E164" s="91">
        <v>0.11070000000000001</v>
      </c>
      <c r="F164" s="109">
        <f t="shared" si="30"/>
        <v>299.90966576332431</v>
      </c>
      <c r="G164" s="93">
        <f t="shared" si="31"/>
        <v>6.7702499999999999E-2</v>
      </c>
      <c r="H164" s="93">
        <f t="shared" si="32"/>
        <v>7.6005000000000003E-2</v>
      </c>
      <c r="I164" s="93">
        <f t="shared" si="33"/>
        <v>8.4307500000000007E-2</v>
      </c>
      <c r="J164" s="93">
        <f t="shared" si="34"/>
        <v>9.2600000000000002E-2</v>
      </c>
      <c r="K164" s="129">
        <v>9.2600000000000002E-2</v>
      </c>
      <c r="L164" s="85" t="s">
        <v>70</v>
      </c>
      <c r="M164" s="85"/>
      <c r="N164" s="79" t="str">
        <f t="shared" si="35"/>
        <v>Nee</v>
      </c>
      <c r="O164" s="79">
        <f t="shared" si="36"/>
        <v>300</v>
      </c>
      <c r="P164" s="115">
        <f t="shared" si="37"/>
        <v>299.91000000000003</v>
      </c>
      <c r="Z164" s="85" t="str">
        <f>""</f>
        <v/>
      </c>
      <c r="AA164" s="85">
        <v>20</v>
      </c>
    </row>
    <row r="165" spans="1:29" x14ac:dyDescent="0.2">
      <c r="A165" s="85" t="s">
        <v>16</v>
      </c>
      <c r="B165" s="110">
        <v>9.2600000000000002E-2</v>
      </c>
      <c r="C165" s="91">
        <v>3.8300000000000001E-2</v>
      </c>
      <c r="D165" s="91">
        <v>5.9400000000000001E-2</v>
      </c>
      <c r="E165" s="91">
        <v>0.11070000000000001</v>
      </c>
      <c r="F165" s="109">
        <f t="shared" si="30"/>
        <v>299.90966576332431</v>
      </c>
      <c r="G165" s="93">
        <f t="shared" si="31"/>
        <v>6.7702499999999999E-2</v>
      </c>
      <c r="H165" s="93">
        <f t="shared" si="32"/>
        <v>7.6005000000000003E-2</v>
      </c>
      <c r="I165" s="93">
        <f t="shared" si="33"/>
        <v>8.4307500000000007E-2</v>
      </c>
      <c r="J165" s="93">
        <f t="shared" si="34"/>
        <v>9.2600000000000002E-2</v>
      </c>
      <c r="K165" s="129">
        <v>9.2600000000000002E-2</v>
      </c>
      <c r="L165" s="85" t="s">
        <v>70</v>
      </c>
      <c r="M165" s="85"/>
      <c r="N165" s="79" t="str">
        <f t="shared" si="35"/>
        <v>Nee</v>
      </c>
      <c r="O165" s="79">
        <f t="shared" si="36"/>
        <v>300</v>
      </c>
      <c r="P165" s="115">
        <f t="shared" si="37"/>
        <v>299.91000000000003</v>
      </c>
      <c r="Z165" s="85" t="str">
        <f>""</f>
        <v/>
      </c>
      <c r="AA165" s="85">
        <v>20</v>
      </c>
    </row>
    <row r="166" spans="1:29" x14ac:dyDescent="0.2">
      <c r="A166" s="85" t="s">
        <v>17</v>
      </c>
      <c r="B166" s="110">
        <v>9.2600000000000002E-2</v>
      </c>
      <c r="C166" s="91">
        <v>3.8300000000000001E-2</v>
      </c>
      <c r="D166" s="91">
        <v>5.9400000000000001E-2</v>
      </c>
      <c r="E166" s="91">
        <v>0.11070000000000001</v>
      </c>
      <c r="F166" s="109">
        <f t="shared" si="30"/>
        <v>299.90966576332431</v>
      </c>
      <c r="G166" s="93">
        <f t="shared" si="31"/>
        <v>6.7702499999999999E-2</v>
      </c>
      <c r="H166" s="93">
        <f t="shared" si="32"/>
        <v>7.6005000000000003E-2</v>
      </c>
      <c r="I166" s="93">
        <f t="shared" si="33"/>
        <v>8.4307500000000007E-2</v>
      </c>
      <c r="J166" s="93">
        <f t="shared" si="34"/>
        <v>9.2600000000000002E-2</v>
      </c>
      <c r="K166" s="129">
        <v>9.2600000000000002E-2</v>
      </c>
      <c r="L166" s="85" t="s">
        <v>70</v>
      </c>
      <c r="M166" s="85"/>
      <c r="N166" s="79" t="str">
        <f t="shared" si="35"/>
        <v>Nee</v>
      </c>
      <c r="O166" s="79">
        <f t="shared" si="36"/>
        <v>300</v>
      </c>
      <c r="P166" s="115">
        <f t="shared" si="37"/>
        <v>299.91000000000003</v>
      </c>
      <c r="Z166" s="85" t="str">
        <f>""</f>
        <v/>
      </c>
      <c r="AA166" s="85">
        <v>20</v>
      </c>
    </row>
    <row r="167" spans="1:29" x14ac:dyDescent="0.2">
      <c r="A167" s="85" t="s">
        <v>158</v>
      </c>
      <c r="B167" s="110">
        <v>7.1999999999999995E-2</v>
      </c>
      <c r="C167" s="91">
        <v>3.8300000000000001E-2</v>
      </c>
      <c r="D167" s="91">
        <v>5.9400000000000001E-2</v>
      </c>
      <c r="E167" s="91">
        <v>0.11070000000000001</v>
      </c>
      <c r="F167" s="109">
        <f t="shared" si="30"/>
        <v>113.82113821138203</v>
      </c>
      <c r="G167" s="93">
        <f t="shared" si="31"/>
        <v>6.7702499999999999E-2</v>
      </c>
      <c r="H167" s="93">
        <f t="shared" si="32"/>
        <v>7.1999999999999995E-2</v>
      </c>
      <c r="I167" s="93">
        <f t="shared" si="33"/>
        <v>7.1999999999999995E-2</v>
      </c>
      <c r="J167" s="93">
        <f t="shared" si="34"/>
        <v>7.1999999999999995E-2</v>
      </c>
      <c r="K167" s="129">
        <v>7.1999999999999995E-2</v>
      </c>
      <c r="L167" s="85" t="s">
        <v>70</v>
      </c>
      <c r="M167" s="85"/>
      <c r="N167" s="79" t="str">
        <f t="shared" si="35"/>
        <v>Nee</v>
      </c>
      <c r="O167" s="79">
        <f t="shared" si="36"/>
        <v>300</v>
      </c>
      <c r="P167" s="115">
        <f t="shared" si="37"/>
        <v>113.821</v>
      </c>
      <c r="Z167" s="85" t="str">
        <f>""</f>
        <v/>
      </c>
      <c r="AA167" s="85">
        <v>20</v>
      </c>
    </row>
    <row r="168" spans="1:29" x14ac:dyDescent="0.2">
      <c r="A168" s="85" t="s">
        <v>10</v>
      </c>
      <c r="B168" s="110">
        <v>7.8799999999999995E-2</v>
      </c>
      <c r="C168" s="91">
        <v>3.8300000000000001E-2</v>
      </c>
      <c r="D168" s="91">
        <v>5.9400000000000001E-2</v>
      </c>
      <c r="E168" s="91">
        <v>0.11070000000000001</v>
      </c>
      <c r="F168" s="109">
        <f t="shared" si="30"/>
        <v>175.24841915085813</v>
      </c>
      <c r="G168" s="93">
        <f t="shared" si="31"/>
        <v>6.7702499999999999E-2</v>
      </c>
      <c r="H168" s="93">
        <f t="shared" si="32"/>
        <v>7.6005000000000003E-2</v>
      </c>
      <c r="I168" s="93">
        <f t="shared" si="33"/>
        <v>7.8799999999999995E-2</v>
      </c>
      <c r="J168" s="93">
        <f t="shared" si="34"/>
        <v>7.8799999999999995E-2</v>
      </c>
      <c r="K168" s="129">
        <v>7.8799999999999995E-2</v>
      </c>
      <c r="L168" s="85" t="s">
        <v>70</v>
      </c>
      <c r="M168" s="85"/>
      <c r="N168" s="79" t="str">
        <f t="shared" si="35"/>
        <v>Nee</v>
      </c>
      <c r="O168" s="79">
        <f t="shared" si="36"/>
        <v>300</v>
      </c>
      <c r="P168" s="115">
        <f t="shared" si="37"/>
        <v>175.24799999999999</v>
      </c>
      <c r="Z168" s="85" t="str">
        <f>""</f>
        <v/>
      </c>
      <c r="AA168" s="85">
        <v>20</v>
      </c>
    </row>
    <row r="169" spans="1:29" x14ac:dyDescent="0.2">
      <c r="A169" s="85" t="s">
        <v>11</v>
      </c>
      <c r="B169" s="110">
        <v>8.5500000000000007E-2</v>
      </c>
      <c r="C169" s="91">
        <v>3.8300000000000001E-2</v>
      </c>
      <c r="D169" s="91">
        <v>5.9400000000000001E-2</v>
      </c>
      <c r="E169" s="91">
        <v>0.11070000000000001</v>
      </c>
      <c r="F169" s="109">
        <f t="shared" si="30"/>
        <v>235.77235772357727</v>
      </c>
      <c r="G169" s="93">
        <f t="shared" si="31"/>
        <v>6.7702499999999999E-2</v>
      </c>
      <c r="H169" s="93">
        <f t="shared" si="32"/>
        <v>7.6005000000000003E-2</v>
      </c>
      <c r="I169" s="93">
        <f t="shared" si="33"/>
        <v>8.4307500000000007E-2</v>
      </c>
      <c r="J169" s="93">
        <f t="shared" si="34"/>
        <v>8.5500000000000007E-2</v>
      </c>
      <c r="K169" s="129">
        <v>8.5500000000000007E-2</v>
      </c>
      <c r="L169" s="85" t="s">
        <v>70</v>
      </c>
      <c r="M169" s="85"/>
      <c r="N169" s="79" t="str">
        <f t="shared" si="35"/>
        <v>Nee</v>
      </c>
      <c r="O169" s="79">
        <f t="shared" si="36"/>
        <v>300</v>
      </c>
      <c r="P169" s="115">
        <f t="shared" si="37"/>
        <v>235.77199999999999</v>
      </c>
      <c r="Z169" s="85" t="str">
        <f>""</f>
        <v/>
      </c>
      <c r="AA169" s="85">
        <v>20</v>
      </c>
    </row>
    <row r="170" spans="1:29" x14ac:dyDescent="0.2">
      <c r="A170" s="85" t="s">
        <v>12</v>
      </c>
      <c r="B170" s="110">
        <v>9.0700000000000003E-2</v>
      </c>
      <c r="C170" s="91">
        <v>3.8300000000000001E-2</v>
      </c>
      <c r="D170" s="91">
        <v>5.9400000000000001E-2</v>
      </c>
      <c r="E170" s="91">
        <v>0.11070000000000001</v>
      </c>
      <c r="F170" s="109">
        <f t="shared" si="30"/>
        <v>282.74616079494126</v>
      </c>
      <c r="G170" s="93">
        <f t="shared" si="31"/>
        <v>6.7702499999999999E-2</v>
      </c>
      <c r="H170" s="93">
        <f t="shared" si="32"/>
        <v>7.6005000000000003E-2</v>
      </c>
      <c r="I170" s="93">
        <f t="shared" si="33"/>
        <v>8.4307500000000007E-2</v>
      </c>
      <c r="J170" s="93">
        <f t="shared" si="34"/>
        <v>9.0700000000000003E-2</v>
      </c>
      <c r="K170" s="129">
        <v>9.0700000000000003E-2</v>
      </c>
      <c r="L170" s="85" t="s">
        <v>70</v>
      </c>
      <c r="M170" s="85"/>
      <c r="N170" s="79" t="str">
        <f t="shared" si="35"/>
        <v>Nee</v>
      </c>
      <c r="O170" s="79">
        <f t="shared" si="36"/>
        <v>300</v>
      </c>
      <c r="P170" s="115">
        <f t="shared" si="37"/>
        <v>282.74599999999998</v>
      </c>
      <c r="Z170" s="85" t="str">
        <f>""</f>
        <v/>
      </c>
      <c r="AA170" s="85">
        <v>20</v>
      </c>
    </row>
    <row r="171" spans="1:29" x14ac:dyDescent="0.2">
      <c r="A171" s="85" t="s">
        <v>13</v>
      </c>
      <c r="B171" s="110">
        <v>9.2600000000000002E-2</v>
      </c>
      <c r="C171" s="91">
        <v>3.8300000000000001E-2</v>
      </c>
      <c r="D171" s="91">
        <v>5.9400000000000001E-2</v>
      </c>
      <c r="E171" s="91">
        <v>0.11070000000000001</v>
      </c>
      <c r="F171" s="109">
        <f t="shared" si="30"/>
        <v>299.90966576332431</v>
      </c>
      <c r="G171" s="93">
        <f t="shared" si="31"/>
        <v>6.7702499999999999E-2</v>
      </c>
      <c r="H171" s="93">
        <f t="shared" si="32"/>
        <v>7.6005000000000003E-2</v>
      </c>
      <c r="I171" s="93">
        <f t="shared" si="33"/>
        <v>8.4307500000000007E-2</v>
      </c>
      <c r="J171" s="93">
        <f t="shared" si="34"/>
        <v>9.2600000000000002E-2</v>
      </c>
      <c r="K171" s="129">
        <v>9.2600000000000002E-2</v>
      </c>
      <c r="L171" s="85" t="s">
        <v>70</v>
      </c>
      <c r="M171" s="85"/>
      <c r="N171" s="79" t="str">
        <f t="shared" si="35"/>
        <v>Nee</v>
      </c>
      <c r="O171" s="79">
        <f t="shared" si="36"/>
        <v>300</v>
      </c>
      <c r="P171" s="115">
        <f t="shared" si="37"/>
        <v>299.91000000000003</v>
      </c>
      <c r="Z171" s="85" t="str">
        <f>""</f>
        <v/>
      </c>
      <c r="AA171" s="85">
        <v>20</v>
      </c>
    </row>
    <row r="172" spans="1:29" x14ac:dyDescent="0.2">
      <c r="A172" s="85"/>
      <c r="B172" s="110"/>
      <c r="C172" s="77"/>
      <c r="D172" s="77"/>
      <c r="E172" s="77"/>
      <c r="F172" s="109"/>
      <c r="G172" s="93"/>
      <c r="H172" s="93"/>
      <c r="I172" s="93"/>
      <c r="J172" s="93"/>
      <c r="K172" s="85"/>
      <c r="L172" s="85"/>
      <c r="M172" s="85"/>
      <c r="N172" s="79"/>
      <c r="O172" s="79"/>
      <c r="P172" s="115"/>
      <c r="Z172" s="85"/>
      <c r="AA172" s="85"/>
    </row>
    <row r="173" spans="1:29" ht="15" customHeight="1" x14ac:dyDescent="0.2">
      <c r="A173" s="88" t="s">
        <v>5</v>
      </c>
      <c r="B173" s="110"/>
      <c r="C173" s="77"/>
      <c r="D173" s="77"/>
      <c r="E173" s="77"/>
      <c r="F173" s="109"/>
      <c r="G173" s="93"/>
      <c r="H173" s="93"/>
      <c r="I173" s="93"/>
      <c r="J173" s="93"/>
      <c r="K173" s="85"/>
      <c r="L173" s="85"/>
      <c r="M173" s="85"/>
      <c r="N173" s="79"/>
      <c r="O173" s="79"/>
      <c r="P173" s="115"/>
      <c r="Z173" s="85"/>
      <c r="AA173" s="85"/>
    </row>
    <row r="174" spans="1:29" ht="15" customHeight="1" x14ac:dyDescent="0.2">
      <c r="A174" s="85" t="s">
        <v>103</v>
      </c>
      <c r="B174" s="92">
        <v>9.4500000000000001E-2</v>
      </c>
      <c r="C174" s="91">
        <v>4.7300000000000002E-2</v>
      </c>
      <c r="D174" s="91">
        <v>7.2999999999999995E-2</v>
      </c>
      <c r="E174" s="91">
        <v>0.23230000000000001</v>
      </c>
      <c r="F174" s="109">
        <f t="shared" ref="F174:F187" si="38">(B174-D174)*1000/E174</f>
        <v>92.552733534222995</v>
      </c>
      <c r="G174" s="93">
        <f t="shared" ref="G174:G187" si="39">MIN($B174,(75*$E174/1000)+$D174)</f>
        <v>9.0422499999999989E-2</v>
      </c>
      <c r="H174" s="93">
        <f t="shared" ref="H174:H187" si="40">MIN($B174,(150*$E174/1000)+$D174)</f>
        <v>9.4500000000000001E-2</v>
      </c>
      <c r="I174" s="93">
        <f t="shared" ref="I174:I187" si="41">MIN($B174,(225*$E174/1000)+$D174)</f>
        <v>9.4500000000000001E-2</v>
      </c>
      <c r="J174" s="93">
        <f t="shared" ref="J174:J187" si="42">MIN($B174,(300*$E174/1000)+$D174)</f>
        <v>9.4500000000000001E-2</v>
      </c>
      <c r="K174" s="85">
        <v>9.4500000000000001E-2</v>
      </c>
      <c r="L174" s="85" t="s">
        <v>70</v>
      </c>
      <c r="M174" s="85"/>
      <c r="N174" s="79" t="str">
        <f t="shared" si="35"/>
        <v>Nee</v>
      </c>
      <c r="O174" s="79">
        <f t="shared" si="36"/>
        <v>300</v>
      </c>
      <c r="P174" s="115">
        <f t="shared" si="37"/>
        <v>92.552999999999997</v>
      </c>
      <c r="Z174" s="85" t="s">
        <v>231</v>
      </c>
      <c r="AA174" s="85">
        <v>20</v>
      </c>
      <c r="AC174" s="130"/>
    </row>
    <row r="175" spans="1:29" x14ac:dyDescent="0.2">
      <c r="A175" s="85" t="s">
        <v>104</v>
      </c>
      <c r="B175" s="92">
        <v>8.6099999999999996E-2</v>
      </c>
      <c r="C175" s="91">
        <v>4.7300000000000002E-2</v>
      </c>
      <c r="D175" s="91">
        <v>7.2999999999999995E-2</v>
      </c>
      <c r="E175" s="91">
        <v>0.12509999999999999</v>
      </c>
      <c r="F175" s="109">
        <f t="shared" si="38"/>
        <v>104.71622701838531</v>
      </c>
      <c r="G175" s="93">
        <f t="shared" si="39"/>
        <v>8.2382499999999997E-2</v>
      </c>
      <c r="H175" s="93">
        <f t="shared" si="40"/>
        <v>8.6099999999999996E-2</v>
      </c>
      <c r="I175" s="93">
        <f t="shared" si="41"/>
        <v>8.6099999999999996E-2</v>
      </c>
      <c r="J175" s="93">
        <f t="shared" si="42"/>
        <v>8.6099999999999996E-2</v>
      </c>
      <c r="K175" s="85">
        <v>8.6099999999999996E-2</v>
      </c>
      <c r="L175" s="85" t="s">
        <v>70</v>
      </c>
      <c r="M175" s="85"/>
      <c r="N175" s="79" t="str">
        <f t="shared" si="35"/>
        <v>Nee</v>
      </c>
      <c r="O175" s="79">
        <f t="shared" si="36"/>
        <v>300</v>
      </c>
      <c r="P175" s="115">
        <f t="shared" si="37"/>
        <v>104.71599999999999</v>
      </c>
      <c r="Z175" s="85" t="s">
        <v>231</v>
      </c>
      <c r="AA175" s="85">
        <v>20</v>
      </c>
    </row>
    <row r="176" spans="1:29" x14ac:dyDescent="0.2">
      <c r="A176" s="85" t="s">
        <v>232</v>
      </c>
      <c r="B176" s="92">
        <v>9.8699999999999996E-2</v>
      </c>
      <c r="C176" s="91">
        <v>4.7300000000000002E-2</v>
      </c>
      <c r="D176" s="91">
        <v>7.2999999999999995E-2</v>
      </c>
      <c r="E176" s="91">
        <v>0.23230000000000001</v>
      </c>
      <c r="F176" s="109">
        <f t="shared" si="38"/>
        <v>110.63280241067585</v>
      </c>
      <c r="G176" s="93">
        <f t="shared" si="39"/>
        <v>9.0422499999999989E-2</v>
      </c>
      <c r="H176" s="93">
        <f t="shared" si="40"/>
        <v>9.8699999999999996E-2</v>
      </c>
      <c r="I176" s="93">
        <f t="shared" si="41"/>
        <v>9.8699999999999996E-2</v>
      </c>
      <c r="J176" s="93">
        <f t="shared" si="42"/>
        <v>9.8699999999999996E-2</v>
      </c>
      <c r="K176" s="85">
        <v>9.8699999999999996E-2</v>
      </c>
      <c r="L176" s="85" t="s">
        <v>70</v>
      </c>
      <c r="M176" s="85"/>
      <c r="N176" s="79" t="str">
        <f t="shared" si="35"/>
        <v>Nee</v>
      </c>
      <c r="O176" s="79">
        <f t="shared" si="36"/>
        <v>300</v>
      </c>
      <c r="P176" s="115">
        <f t="shared" si="37"/>
        <v>110.633</v>
      </c>
      <c r="Z176" s="85" t="s">
        <v>231</v>
      </c>
      <c r="AA176" s="85">
        <v>20</v>
      </c>
    </row>
    <row r="177" spans="1:29" x14ac:dyDescent="0.2">
      <c r="A177" s="85" t="s">
        <v>233</v>
      </c>
      <c r="B177" s="92">
        <v>9.0300000000000005E-2</v>
      </c>
      <c r="C177" s="91">
        <v>4.7300000000000002E-2</v>
      </c>
      <c r="D177" s="91">
        <v>7.2999999999999995E-2</v>
      </c>
      <c r="E177" s="91">
        <v>0.12509999999999999</v>
      </c>
      <c r="F177" s="109">
        <f t="shared" si="38"/>
        <v>138.28936850519594</v>
      </c>
      <c r="G177" s="93">
        <f t="shared" si="39"/>
        <v>8.2382499999999997E-2</v>
      </c>
      <c r="H177" s="93">
        <f t="shared" si="40"/>
        <v>9.0300000000000005E-2</v>
      </c>
      <c r="I177" s="93">
        <f t="shared" si="41"/>
        <v>9.0300000000000005E-2</v>
      </c>
      <c r="J177" s="93">
        <f t="shared" si="42"/>
        <v>9.0300000000000005E-2</v>
      </c>
      <c r="K177" s="85">
        <v>9.0300000000000005E-2</v>
      </c>
      <c r="L177" s="85" t="s">
        <v>70</v>
      </c>
      <c r="M177" s="85"/>
      <c r="N177" s="79" t="str">
        <f t="shared" si="35"/>
        <v>Nee</v>
      </c>
      <c r="O177" s="79">
        <f t="shared" si="36"/>
        <v>300</v>
      </c>
      <c r="P177" s="115">
        <f t="shared" si="37"/>
        <v>138.28899999999999</v>
      </c>
      <c r="Z177" s="85" t="s">
        <v>231</v>
      </c>
      <c r="AA177" s="85">
        <v>20</v>
      </c>
    </row>
    <row r="178" spans="1:29" x14ac:dyDescent="0.2">
      <c r="A178" s="85" t="s">
        <v>159</v>
      </c>
      <c r="B178" s="92">
        <v>0.13350000000000001</v>
      </c>
      <c r="C178" s="91">
        <v>4.7300000000000002E-2</v>
      </c>
      <c r="D178" s="91">
        <v>7.2999999999999995E-2</v>
      </c>
      <c r="E178" s="91">
        <v>0.2293</v>
      </c>
      <c r="F178" s="109">
        <f t="shared" si="38"/>
        <v>263.84648931530751</v>
      </c>
      <c r="G178" s="93">
        <f t="shared" si="39"/>
        <v>9.01975E-2</v>
      </c>
      <c r="H178" s="93">
        <f t="shared" si="40"/>
        <v>0.10739499999999999</v>
      </c>
      <c r="I178" s="93">
        <f t="shared" si="41"/>
        <v>0.12459249999999999</v>
      </c>
      <c r="J178" s="93">
        <f t="shared" si="42"/>
        <v>0.13350000000000001</v>
      </c>
      <c r="K178" s="85">
        <v>0.13350000000000001</v>
      </c>
      <c r="L178" s="85" t="s">
        <v>70</v>
      </c>
      <c r="M178" s="85"/>
      <c r="N178" s="79" t="str">
        <f t="shared" si="35"/>
        <v>Nee</v>
      </c>
      <c r="O178" s="79">
        <f t="shared" si="36"/>
        <v>300</v>
      </c>
      <c r="P178" s="115">
        <f t="shared" si="37"/>
        <v>263.846</v>
      </c>
      <c r="Z178" s="85" t="s">
        <v>231</v>
      </c>
      <c r="AA178" s="85">
        <v>20</v>
      </c>
    </row>
    <row r="179" spans="1:29" x14ac:dyDescent="0.2">
      <c r="A179" s="85" t="s">
        <v>105</v>
      </c>
      <c r="B179" s="92">
        <v>9.7900000000000001E-2</v>
      </c>
      <c r="C179" s="91">
        <v>4.7300000000000002E-2</v>
      </c>
      <c r="D179" s="91">
        <v>7.2999999999999995E-2</v>
      </c>
      <c r="E179" s="91">
        <v>0.1084</v>
      </c>
      <c r="F179" s="109">
        <f t="shared" si="38"/>
        <v>229.70479704797054</v>
      </c>
      <c r="G179" s="93">
        <f t="shared" si="39"/>
        <v>8.1129999999999994E-2</v>
      </c>
      <c r="H179" s="93">
        <f t="shared" si="40"/>
        <v>8.9259999999999992E-2</v>
      </c>
      <c r="I179" s="93">
        <f t="shared" si="41"/>
        <v>9.7390000000000004E-2</v>
      </c>
      <c r="J179" s="93">
        <f t="shared" si="42"/>
        <v>9.7900000000000001E-2</v>
      </c>
      <c r="K179" s="85">
        <v>9.7900000000000001E-2</v>
      </c>
      <c r="L179" s="85" t="s">
        <v>70</v>
      </c>
      <c r="M179" s="85"/>
      <c r="N179" s="79" t="str">
        <f t="shared" si="35"/>
        <v>Nee</v>
      </c>
      <c r="O179" s="79">
        <f t="shared" si="36"/>
        <v>300</v>
      </c>
      <c r="P179" s="115">
        <f t="shared" si="37"/>
        <v>229.70500000000001</v>
      </c>
      <c r="Z179" s="85" t="s">
        <v>231</v>
      </c>
      <c r="AA179" s="85">
        <v>20</v>
      </c>
      <c r="AC179" s="130"/>
    </row>
    <row r="180" spans="1:29" x14ac:dyDescent="0.2">
      <c r="A180" s="85" t="s">
        <v>106</v>
      </c>
      <c r="B180" s="92">
        <v>9.2499999999999999E-2</v>
      </c>
      <c r="C180" s="91">
        <v>4.7300000000000002E-2</v>
      </c>
      <c r="D180" s="91">
        <v>7.2999999999999995E-2</v>
      </c>
      <c r="E180" s="91">
        <v>9.0399999999999994E-2</v>
      </c>
      <c r="F180" s="109">
        <f t="shared" si="38"/>
        <v>215.70796460176996</v>
      </c>
      <c r="G180" s="93">
        <f t="shared" si="39"/>
        <v>7.977999999999999E-2</v>
      </c>
      <c r="H180" s="93">
        <f t="shared" si="40"/>
        <v>8.6559999999999998E-2</v>
      </c>
      <c r="I180" s="93">
        <f t="shared" si="41"/>
        <v>9.2499999999999999E-2</v>
      </c>
      <c r="J180" s="93">
        <f t="shared" si="42"/>
        <v>9.2499999999999999E-2</v>
      </c>
      <c r="K180" s="85">
        <v>9.2499999999999999E-2</v>
      </c>
      <c r="L180" s="85" t="s">
        <v>70</v>
      </c>
      <c r="M180" s="85"/>
      <c r="N180" s="79" t="str">
        <f t="shared" si="35"/>
        <v>Nee</v>
      </c>
      <c r="O180" s="79">
        <f t="shared" si="36"/>
        <v>300</v>
      </c>
      <c r="P180" s="115">
        <f t="shared" si="37"/>
        <v>215.708</v>
      </c>
      <c r="Z180" s="85" t="s">
        <v>231</v>
      </c>
      <c r="AA180" s="85">
        <v>20</v>
      </c>
    </row>
    <row r="181" spans="1:29" x14ac:dyDescent="0.2">
      <c r="A181" s="85" t="s">
        <v>160</v>
      </c>
      <c r="B181" s="92">
        <v>0.1038</v>
      </c>
      <c r="C181" s="91">
        <v>4.7300000000000002E-2</v>
      </c>
      <c r="D181" s="91">
        <v>7.2999999999999995E-2</v>
      </c>
      <c r="E181" s="91">
        <v>0.1356</v>
      </c>
      <c r="F181" s="109">
        <f t="shared" si="38"/>
        <v>227.13864306784666</v>
      </c>
      <c r="G181" s="93">
        <f t="shared" si="39"/>
        <v>8.3169999999999994E-2</v>
      </c>
      <c r="H181" s="93">
        <f t="shared" si="40"/>
        <v>9.3339999999999992E-2</v>
      </c>
      <c r="I181" s="93">
        <f t="shared" si="41"/>
        <v>0.10350999999999999</v>
      </c>
      <c r="J181" s="93">
        <f t="shared" si="42"/>
        <v>0.1038</v>
      </c>
      <c r="K181" s="85">
        <v>0.1038</v>
      </c>
      <c r="L181" s="85" t="s">
        <v>70</v>
      </c>
      <c r="M181" s="85"/>
      <c r="N181" s="79" t="str">
        <f t="shared" si="35"/>
        <v>Nee</v>
      </c>
      <c r="O181" s="79">
        <f t="shared" si="36"/>
        <v>300</v>
      </c>
      <c r="P181" s="115">
        <f t="shared" si="37"/>
        <v>227.13900000000001</v>
      </c>
      <c r="Z181" s="85" t="s">
        <v>231</v>
      </c>
      <c r="AA181" s="85">
        <v>20</v>
      </c>
    </row>
    <row r="182" spans="1:29" x14ac:dyDescent="0.2">
      <c r="A182" s="85" t="s">
        <v>161</v>
      </c>
      <c r="B182" s="92">
        <v>8.8900000000000007E-2</v>
      </c>
      <c r="C182" s="91">
        <v>4.7300000000000002E-2</v>
      </c>
      <c r="D182" s="91">
        <v>7.2999999999999995E-2</v>
      </c>
      <c r="E182" s="91">
        <v>9.0399999999999994E-2</v>
      </c>
      <c r="F182" s="109">
        <f t="shared" si="38"/>
        <v>175.88495575221253</v>
      </c>
      <c r="G182" s="93">
        <f t="shared" si="39"/>
        <v>7.977999999999999E-2</v>
      </c>
      <c r="H182" s="93">
        <f t="shared" si="40"/>
        <v>8.6559999999999998E-2</v>
      </c>
      <c r="I182" s="93">
        <f t="shared" si="41"/>
        <v>8.8900000000000007E-2</v>
      </c>
      <c r="J182" s="93">
        <f t="shared" si="42"/>
        <v>8.8900000000000007E-2</v>
      </c>
      <c r="K182" s="85">
        <v>8.8900000000000007E-2</v>
      </c>
      <c r="L182" s="85" t="s">
        <v>70</v>
      </c>
      <c r="M182" s="85"/>
      <c r="N182" s="79" t="str">
        <f t="shared" si="35"/>
        <v>Nee</v>
      </c>
      <c r="O182" s="79">
        <f t="shared" si="36"/>
        <v>300</v>
      </c>
      <c r="P182" s="115">
        <f t="shared" si="37"/>
        <v>175.88499999999999</v>
      </c>
      <c r="Z182" s="85" t="s">
        <v>231</v>
      </c>
      <c r="AA182" s="85">
        <v>20</v>
      </c>
    </row>
    <row r="183" spans="1:29" x14ac:dyDescent="0.2">
      <c r="A183" s="85" t="s">
        <v>141</v>
      </c>
      <c r="B183" s="92">
        <v>7.8E-2</v>
      </c>
      <c r="C183" s="91">
        <v>4.7300000000000002E-2</v>
      </c>
      <c r="D183" s="91">
        <v>7.2999999999999995E-2</v>
      </c>
      <c r="E183" s="91">
        <v>8.1299999999999997E-2</v>
      </c>
      <c r="F183" s="109">
        <f t="shared" si="38"/>
        <v>61.50061500615012</v>
      </c>
      <c r="G183" s="93">
        <f t="shared" si="39"/>
        <v>7.8E-2</v>
      </c>
      <c r="H183" s="93">
        <f t="shared" si="40"/>
        <v>7.8E-2</v>
      </c>
      <c r="I183" s="93">
        <f t="shared" si="41"/>
        <v>7.8E-2</v>
      </c>
      <c r="J183" s="93">
        <f t="shared" si="42"/>
        <v>7.8E-2</v>
      </c>
      <c r="K183" s="85">
        <v>7.8E-2</v>
      </c>
      <c r="L183" s="85" t="s">
        <v>70</v>
      </c>
      <c r="M183" s="85"/>
      <c r="N183" s="79" t="str">
        <f t="shared" si="35"/>
        <v>Nee</v>
      </c>
      <c r="O183" s="79">
        <f t="shared" si="36"/>
        <v>300</v>
      </c>
      <c r="P183" s="115">
        <f t="shared" si="37"/>
        <v>61.500999999999998</v>
      </c>
      <c r="Z183" s="85" t="s">
        <v>231</v>
      </c>
      <c r="AA183" s="85">
        <v>20</v>
      </c>
    </row>
    <row r="184" spans="1:29" x14ac:dyDescent="0.2">
      <c r="A184" s="85" t="s">
        <v>162</v>
      </c>
      <c r="B184" s="92">
        <v>0.1013</v>
      </c>
      <c r="C184" s="91">
        <v>4.7300000000000002E-2</v>
      </c>
      <c r="D184" s="91">
        <v>7.2999999999999995E-2</v>
      </c>
      <c r="E184" s="91">
        <v>0.13550000000000001</v>
      </c>
      <c r="F184" s="109">
        <f t="shared" si="38"/>
        <v>208.85608856088564</v>
      </c>
      <c r="G184" s="93">
        <f t="shared" si="39"/>
        <v>8.31625E-2</v>
      </c>
      <c r="H184" s="93">
        <f t="shared" si="40"/>
        <v>9.3324999999999991E-2</v>
      </c>
      <c r="I184" s="93">
        <f t="shared" si="41"/>
        <v>0.1013</v>
      </c>
      <c r="J184" s="93">
        <f t="shared" si="42"/>
        <v>0.1013</v>
      </c>
      <c r="K184" s="85">
        <v>0.1013</v>
      </c>
      <c r="L184" s="85" t="s">
        <v>70</v>
      </c>
      <c r="M184" s="85"/>
      <c r="N184" s="79" t="str">
        <f t="shared" si="35"/>
        <v>Nee</v>
      </c>
      <c r="O184" s="79">
        <f t="shared" si="36"/>
        <v>300</v>
      </c>
      <c r="P184" s="115">
        <f t="shared" si="37"/>
        <v>208.85599999999999</v>
      </c>
      <c r="Z184" s="85"/>
      <c r="AA184" s="85">
        <v>20</v>
      </c>
    </row>
    <row r="185" spans="1:29" x14ac:dyDescent="0.2">
      <c r="A185" s="85" t="s">
        <v>163</v>
      </c>
      <c r="B185" s="92">
        <v>0.09</v>
      </c>
      <c r="C185" s="91">
        <v>4.7300000000000002E-2</v>
      </c>
      <c r="D185" s="91">
        <v>7.2999999999999995E-2</v>
      </c>
      <c r="E185" s="91">
        <v>9.0300000000000005E-2</v>
      </c>
      <c r="F185" s="109">
        <f t="shared" si="38"/>
        <v>188.26135105204872</v>
      </c>
      <c r="G185" s="93">
        <f t="shared" si="39"/>
        <v>7.9772499999999996E-2</v>
      </c>
      <c r="H185" s="93">
        <f t="shared" si="40"/>
        <v>8.6544999999999997E-2</v>
      </c>
      <c r="I185" s="93">
        <f t="shared" si="41"/>
        <v>0.09</v>
      </c>
      <c r="J185" s="93">
        <f t="shared" si="42"/>
        <v>0.09</v>
      </c>
      <c r="K185" s="85">
        <v>0.09</v>
      </c>
      <c r="L185" s="85" t="s">
        <v>70</v>
      </c>
      <c r="M185" s="85"/>
      <c r="N185" s="79" t="str">
        <f t="shared" si="35"/>
        <v>Nee</v>
      </c>
      <c r="O185" s="79">
        <f t="shared" si="36"/>
        <v>300</v>
      </c>
      <c r="P185" s="115">
        <f t="shared" si="37"/>
        <v>188.261</v>
      </c>
      <c r="Z185" s="85"/>
      <c r="AA185" s="85">
        <v>20</v>
      </c>
    </row>
    <row r="186" spans="1:29" x14ac:dyDescent="0.2">
      <c r="A186" s="85" t="s">
        <v>234</v>
      </c>
      <c r="B186" s="93">
        <v>8.8900000000000007E-2</v>
      </c>
      <c r="C186" s="91">
        <v>4.7300000000000002E-2</v>
      </c>
      <c r="D186" s="91">
        <v>7.2999999999999995E-2</v>
      </c>
      <c r="E186" s="91">
        <v>9.0300000000000005E-2</v>
      </c>
      <c r="F186" s="109">
        <f t="shared" si="38"/>
        <v>176.07973421926923</v>
      </c>
      <c r="G186" s="93">
        <f t="shared" si="39"/>
        <v>7.9772499999999996E-2</v>
      </c>
      <c r="H186" s="93">
        <f t="shared" si="40"/>
        <v>8.6544999999999997E-2</v>
      </c>
      <c r="I186" s="93">
        <f t="shared" si="41"/>
        <v>8.8900000000000007E-2</v>
      </c>
      <c r="J186" s="93">
        <f t="shared" si="42"/>
        <v>8.8900000000000007E-2</v>
      </c>
      <c r="K186" s="85">
        <v>8.8900000000000007E-2</v>
      </c>
      <c r="L186" s="85" t="s">
        <v>70</v>
      </c>
      <c r="M186" s="85"/>
      <c r="N186" s="79" t="str">
        <f t="shared" si="35"/>
        <v>Nee</v>
      </c>
      <c r="O186" s="79">
        <f t="shared" si="36"/>
        <v>300</v>
      </c>
      <c r="P186" s="115">
        <f t="shared" si="37"/>
        <v>176.08</v>
      </c>
      <c r="Z186" s="85"/>
      <c r="AA186" s="85">
        <v>20</v>
      </c>
    </row>
    <row r="187" spans="1:29" x14ac:dyDescent="0.2">
      <c r="A187" s="85" t="s">
        <v>235</v>
      </c>
      <c r="B187" s="93">
        <v>0.1137</v>
      </c>
      <c r="C187" s="91">
        <v>4.7300000000000002E-2</v>
      </c>
      <c r="D187" s="91">
        <v>7.2999999999999995E-2</v>
      </c>
      <c r="E187" s="91">
        <v>0.1356</v>
      </c>
      <c r="F187" s="109">
        <f t="shared" si="38"/>
        <v>300.14749262536878</v>
      </c>
      <c r="G187" s="93">
        <f t="shared" si="39"/>
        <v>8.3169999999999994E-2</v>
      </c>
      <c r="H187" s="93">
        <f t="shared" si="40"/>
        <v>9.3339999999999992E-2</v>
      </c>
      <c r="I187" s="93">
        <f t="shared" si="41"/>
        <v>0.10350999999999999</v>
      </c>
      <c r="J187" s="93">
        <f t="shared" si="42"/>
        <v>0.11368</v>
      </c>
      <c r="K187" s="85">
        <v>0.1137</v>
      </c>
      <c r="L187" s="85" t="s">
        <v>70</v>
      </c>
      <c r="M187" s="85"/>
      <c r="N187" s="79" t="str">
        <f t="shared" si="35"/>
        <v>Nee</v>
      </c>
      <c r="O187" s="79">
        <f t="shared" si="36"/>
        <v>300</v>
      </c>
      <c r="P187" s="115">
        <f t="shared" si="37"/>
        <v>300.14699999999999</v>
      </c>
      <c r="Z187" s="85" t="s">
        <v>231</v>
      </c>
      <c r="AA187" s="85">
        <v>20</v>
      </c>
    </row>
    <row r="188" spans="1:29" x14ac:dyDescent="0.2">
      <c r="A188" s="85"/>
      <c r="B188" s="110"/>
      <c r="C188" s="91"/>
      <c r="D188" s="77"/>
      <c r="E188" s="77"/>
      <c r="F188" s="109"/>
      <c r="G188" s="93"/>
      <c r="H188" s="93"/>
      <c r="I188" s="93"/>
      <c r="J188" s="93"/>
      <c r="K188" s="85"/>
      <c r="L188" s="85"/>
      <c r="M188" s="85"/>
      <c r="N188" s="79"/>
      <c r="O188" s="79"/>
      <c r="P188" s="115"/>
      <c r="Z188" s="85"/>
      <c r="AA188" s="85"/>
    </row>
    <row r="189" spans="1:29" x14ac:dyDescent="0.2">
      <c r="A189" s="88" t="s">
        <v>6</v>
      </c>
      <c r="B189" s="110"/>
      <c r="C189" s="91"/>
      <c r="D189" s="77"/>
      <c r="E189" s="77"/>
      <c r="F189" s="109"/>
      <c r="G189" s="93"/>
      <c r="H189" s="93"/>
      <c r="I189" s="93"/>
      <c r="J189" s="93"/>
      <c r="K189" s="85"/>
      <c r="L189" s="85"/>
      <c r="M189" s="85"/>
      <c r="N189" s="79"/>
      <c r="O189" s="79"/>
      <c r="P189" s="115"/>
      <c r="Z189" s="85"/>
      <c r="AA189" s="85"/>
    </row>
    <row r="190" spans="1:29" x14ac:dyDescent="0.2">
      <c r="A190" s="85" t="s">
        <v>7</v>
      </c>
      <c r="B190" s="110">
        <v>0.112</v>
      </c>
      <c r="C190" s="121">
        <v>6.0600000000000001E-2</v>
      </c>
      <c r="D190" s="77">
        <v>8.2400000000000001E-2</v>
      </c>
      <c r="E190" s="77">
        <v>0.22500000000000001</v>
      </c>
      <c r="F190" s="109">
        <f>(B190-D190)*1000/E190</f>
        <v>131.55555555555557</v>
      </c>
      <c r="G190" s="93">
        <f>MIN($B190,(75*$E190/1000)+$D190)</f>
        <v>9.9275000000000002E-2</v>
      </c>
      <c r="H190" s="93">
        <f>MIN($B190,(150*$E190/1000)+$D190)</f>
        <v>0.112</v>
      </c>
      <c r="I190" s="93">
        <f>MIN($B190,(225*$E190/1000)+$D190)</f>
        <v>0.112</v>
      </c>
      <c r="J190" s="93">
        <f>MIN($B190,(300*$E190/1000)+$D190)</f>
        <v>0.112</v>
      </c>
      <c r="K190" s="85">
        <v>0.112</v>
      </c>
      <c r="L190" s="85" t="s">
        <v>70</v>
      </c>
      <c r="M190" s="85" t="s">
        <v>174</v>
      </c>
      <c r="N190" s="79" t="str">
        <f t="shared" si="35"/>
        <v>Ja</v>
      </c>
      <c r="O190" s="79">
        <f t="shared" si="36"/>
        <v>400</v>
      </c>
      <c r="P190" s="115">
        <f t="shared" si="37"/>
        <v>131.55600000000001</v>
      </c>
      <c r="Z190" s="85" t="str">
        <f>""</f>
        <v/>
      </c>
      <c r="AA190" s="85">
        <v>15</v>
      </c>
    </row>
    <row r="191" spans="1:29" x14ac:dyDescent="0.2">
      <c r="A191" s="85" t="s">
        <v>81</v>
      </c>
      <c r="B191" s="110">
        <v>9.4600000000000004E-2</v>
      </c>
      <c r="C191" s="121">
        <v>1.3100000000000001E-2</v>
      </c>
      <c r="D191" s="77">
        <v>3.1E-2</v>
      </c>
      <c r="E191" s="77">
        <v>0.22500000000000001</v>
      </c>
      <c r="F191" s="109">
        <f>(B191-D191)*1000/E191</f>
        <v>282.66666666666669</v>
      </c>
      <c r="G191" s="93">
        <f>MIN($B191,(75*$E191/1000)+$D191)</f>
        <v>4.7875000000000001E-2</v>
      </c>
      <c r="H191" s="93">
        <f>MIN($B191,(150*$E191/1000)+$D191)</f>
        <v>6.4750000000000002E-2</v>
      </c>
      <c r="I191" s="93">
        <f>MIN($B191,(225*$E191/1000)+$D191)</f>
        <v>8.1625000000000003E-2</v>
      </c>
      <c r="J191" s="93">
        <f>MIN($B191,(300*$E191/1000)+$D191)</f>
        <v>9.4600000000000004E-2</v>
      </c>
      <c r="K191" s="85">
        <v>9.4600000000000004E-2</v>
      </c>
      <c r="L191" s="85" t="s">
        <v>70</v>
      </c>
      <c r="M191" s="85" t="s">
        <v>174</v>
      </c>
      <c r="N191" s="79" t="str">
        <f t="shared" si="35"/>
        <v>Ja</v>
      </c>
      <c r="O191" s="79">
        <f t="shared" si="36"/>
        <v>400</v>
      </c>
      <c r="P191" s="115">
        <f t="shared" si="37"/>
        <v>282.66699999999997</v>
      </c>
      <c r="Z191" s="85" t="str">
        <f>""</f>
        <v/>
      </c>
      <c r="AA191" s="85">
        <v>15</v>
      </c>
    </row>
    <row r="192" spans="1:29" ht="15" customHeight="1" x14ac:dyDescent="0.2">
      <c r="A192" s="85" t="s">
        <v>164</v>
      </c>
      <c r="B192" s="110">
        <v>9.0700000000000003E-2</v>
      </c>
      <c r="C192" s="121">
        <v>1.3100000000000001E-2</v>
      </c>
      <c r="D192" s="77">
        <v>3.1E-2</v>
      </c>
      <c r="E192" s="77">
        <v>0.21199999999999999</v>
      </c>
      <c r="F192" s="109">
        <f>(B192-D192)*1000/E192</f>
        <v>281.6037735849057</v>
      </c>
      <c r="G192" s="93">
        <f>MIN($B192,(75*$E192/1000)+$D192)</f>
        <v>4.6899999999999997E-2</v>
      </c>
      <c r="H192" s="93">
        <f>MIN($B192,(150*$E192/1000)+$D192)</f>
        <v>6.2799999999999995E-2</v>
      </c>
      <c r="I192" s="93">
        <f>MIN($B192,(225*$E192/1000)+$D192)</f>
        <v>7.8699999999999992E-2</v>
      </c>
      <c r="J192" s="93">
        <f>MIN($B192,(300*$E192/1000)+$D192)</f>
        <v>9.0700000000000003E-2</v>
      </c>
      <c r="K192" s="85">
        <v>9.0700000000000003E-2</v>
      </c>
      <c r="L192" s="85" t="s">
        <v>70</v>
      </c>
      <c r="M192" s="85" t="s">
        <v>174</v>
      </c>
      <c r="N192" s="79" t="str">
        <f t="shared" si="35"/>
        <v>Ja</v>
      </c>
      <c r="O192" s="79">
        <f t="shared" si="36"/>
        <v>400</v>
      </c>
      <c r="P192" s="115">
        <f t="shared" si="37"/>
        <v>281.60399999999998</v>
      </c>
      <c r="X192" s="49"/>
      <c r="Z192" s="85"/>
      <c r="AA192" s="85">
        <v>15</v>
      </c>
    </row>
    <row r="193" spans="1:27" x14ac:dyDescent="0.2">
      <c r="A193" s="85"/>
      <c r="B193" s="110"/>
      <c r="C193" s="91"/>
      <c r="D193" s="77"/>
      <c r="E193" s="77"/>
      <c r="F193" s="109"/>
      <c r="G193" s="93"/>
      <c r="H193" s="93"/>
      <c r="I193" s="93"/>
      <c r="J193" s="93"/>
      <c r="K193" s="85"/>
      <c r="L193" s="85"/>
      <c r="M193" s="85"/>
      <c r="N193" s="79"/>
      <c r="O193" s="79"/>
      <c r="P193" s="115"/>
      <c r="Z193" s="85"/>
      <c r="AA193" s="85"/>
    </row>
    <row r="194" spans="1:27" ht="14.25" x14ac:dyDescent="0.2">
      <c r="A194" s="122" t="s">
        <v>236</v>
      </c>
      <c r="B194" s="110"/>
      <c r="C194" s="91"/>
      <c r="D194" s="77"/>
      <c r="E194" s="77"/>
      <c r="F194" s="109"/>
      <c r="G194" s="93"/>
      <c r="H194" s="93"/>
      <c r="I194" s="93"/>
      <c r="J194" s="93"/>
      <c r="K194" s="85"/>
      <c r="L194" s="85"/>
      <c r="M194" s="85"/>
      <c r="N194" s="79"/>
      <c r="O194" s="79"/>
      <c r="P194" s="115"/>
      <c r="Z194" s="85"/>
      <c r="AA194" s="85"/>
    </row>
    <row r="195" spans="1:27" ht="15.75" x14ac:dyDescent="0.3">
      <c r="A195" s="85" t="s">
        <v>237</v>
      </c>
      <c r="B195" s="110">
        <v>282.9162</v>
      </c>
      <c r="C195" s="91">
        <v>0</v>
      </c>
      <c r="D195" s="77">
        <v>0</v>
      </c>
      <c r="E195" s="77">
        <v>943.05399999999997</v>
      </c>
      <c r="F195" s="109">
        <f t="shared" ref="F195:F204" si="43">(B195-D195)*1000/E195</f>
        <v>300</v>
      </c>
      <c r="G195" s="93">
        <f t="shared" ref="G195:G204" si="44">MIN($B195,(75*$E195/1000)+$D195)</f>
        <v>70.729050000000001</v>
      </c>
      <c r="H195" s="93">
        <f t="shared" ref="H195:H204" si="45">MIN($B195,(150*$E195/1000)+$D195)</f>
        <v>141.4581</v>
      </c>
      <c r="I195" s="93">
        <f t="shared" ref="I195:I204" si="46">MIN($B195,(225*$E195/1000)+$D195)</f>
        <v>212.18715</v>
      </c>
      <c r="J195" s="93">
        <f t="shared" ref="J195:J204" si="47">MIN($B195,(300*$E195/1000)+$D195)</f>
        <v>282.9162</v>
      </c>
      <c r="K195" s="85">
        <v>282.9162</v>
      </c>
      <c r="L195" s="85" t="s">
        <v>71</v>
      </c>
      <c r="M195" s="85"/>
      <c r="N195" s="79" t="str">
        <f t="shared" si="35"/>
        <v>Nee</v>
      </c>
      <c r="O195" s="79">
        <f t="shared" si="36"/>
        <v>300</v>
      </c>
      <c r="P195" s="115">
        <f t="shared" si="37"/>
        <v>300</v>
      </c>
      <c r="Z195" s="85" t="str">
        <f>""</f>
        <v/>
      </c>
      <c r="AA195" s="85">
        <v>15</v>
      </c>
    </row>
    <row r="196" spans="1:27" ht="15.75" x14ac:dyDescent="0.3">
      <c r="A196" s="85" t="s">
        <v>238</v>
      </c>
      <c r="B196" s="110">
        <v>279.55110000000002</v>
      </c>
      <c r="C196" s="91">
        <v>0</v>
      </c>
      <c r="D196" s="77">
        <v>0</v>
      </c>
      <c r="E196" s="77">
        <v>939.54399999999998</v>
      </c>
      <c r="F196" s="109">
        <f t="shared" si="43"/>
        <v>297.53912536294206</v>
      </c>
      <c r="G196" s="93">
        <f t="shared" si="44"/>
        <v>70.465800000000002</v>
      </c>
      <c r="H196" s="93">
        <f t="shared" si="45"/>
        <v>140.9316</v>
      </c>
      <c r="I196" s="93">
        <f t="shared" si="46"/>
        <v>211.3974</v>
      </c>
      <c r="J196" s="93">
        <f t="shared" si="47"/>
        <v>279.55110000000002</v>
      </c>
      <c r="K196" s="85">
        <v>279.55110000000002</v>
      </c>
      <c r="L196" s="85" t="s">
        <v>71</v>
      </c>
      <c r="M196" s="85"/>
      <c r="N196" s="79" t="str">
        <f t="shared" si="35"/>
        <v>Nee</v>
      </c>
      <c r="O196" s="79">
        <f t="shared" si="36"/>
        <v>300</v>
      </c>
      <c r="P196" s="115">
        <f t="shared" si="37"/>
        <v>297.53899999999999</v>
      </c>
      <c r="Z196" s="85" t="str">
        <f>""</f>
        <v/>
      </c>
      <c r="AA196" s="85">
        <v>15</v>
      </c>
    </row>
    <row r="197" spans="1:27" ht="15.75" x14ac:dyDescent="0.3">
      <c r="A197" s="85" t="s">
        <v>239</v>
      </c>
      <c r="B197" s="110">
        <v>220.1705</v>
      </c>
      <c r="C197" s="91">
        <v>0</v>
      </c>
      <c r="D197" s="77">
        <v>0</v>
      </c>
      <c r="E197" s="77">
        <v>939.54399999999998</v>
      </c>
      <c r="F197" s="109">
        <f t="shared" si="43"/>
        <v>234.3376148429451</v>
      </c>
      <c r="G197" s="93">
        <f t="shared" si="44"/>
        <v>70.465800000000002</v>
      </c>
      <c r="H197" s="93">
        <f t="shared" si="45"/>
        <v>140.9316</v>
      </c>
      <c r="I197" s="93">
        <f t="shared" si="46"/>
        <v>211.3974</v>
      </c>
      <c r="J197" s="93">
        <f t="shared" si="47"/>
        <v>220.1705</v>
      </c>
      <c r="K197" s="85">
        <v>220.1705</v>
      </c>
      <c r="L197" s="85" t="s">
        <v>71</v>
      </c>
      <c r="M197" s="85"/>
      <c r="N197" s="79" t="str">
        <f t="shared" si="35"/>
        <v>Nee</v>
      </c>
      <c r="O197" s="79">
        <f t="shared" si="36"/>
        <v>300</v>
      </c>
      <c r="P197" s="115">
        <f t="shared" si="37"/>
        <v>234.33799999999999</v>
      </c>
      <c r="Z197" s="85" t="str">
        <f>""</f>
        <v/>
      </c>
      <c r="AA197" s="85">
        <v>15</v>
      </c>
    </row>
    <row r="198" spans="1:27" x14ac:dyDescent="0.2">
      <c r="A198" s="85" t="s">
        <v>411</v>
      </c>
      <c r="B198" s="110">
        <v>281.86320000000001</v>
      </c>
      <c r="C198" s="91">
        <v>0</v>
      </c>
      <c r="D198" s="77">
        <v>0</v>
      </c>
      <c r="E198" s="77">
        <v>939.54399999999998</v>
      </c>
      <c r="F198" s="109">
        <f t="shared" si="43"/>
        <v>300</v>
      </c>
      <c r="G198" s="93">
        <f t="shared" si="44"/>
        <v>70.465800000000002</v>
      </c>
      <c r="H198" s="93">
        <f t="shared" si="45"/>
        <v>140.9316</v>
      </c>
      <c r="I198" s="93">
        <f t="shared" si="46"/>
        <v>211.3974</v>
      </c>
      <c r="J198" s="93">
        <f t="shared" si="47"/>
        <v>281.86320000000001</v>
      </c>
      <c r="K198" s="85">
        <v>281.86320000000001</v>
      </c>
      <c r="L198" s="85" t="s">
        <v>71</v>
      </c>
      <c r="M198" s="85"/>
      <c r="N198" s="79" t="str">
        <f t="shared" si="35"/>
        <v>Nee</v>
      </c>
      <c r="O198" s="79">
        <f t="shared" si="36"/>
        <v>300</v>
      </c>
      <c r="P198" s="115">
        <f t="shared" si="37"/>
        <v>300</v>
      </c>
      <c r="Z198" s="85"/>
      <c r="AA198" s="85">
        <v>15</v>
      </c>
    </row>
    <row r="199" spans="1:27" x14ac:dyDescent="0.2">
      <c r="A199" s="85" t="s">
        <v>384</v>
      </c>
      <c r="B199" s="110">
        <v>281.86320000000001</v>
      </c>
      <c r="C199" s="91">
        <v>0</v>
      </c>
      <c r="D199" s="77">
        <v>0</v>
      </c>
      <c r="E199" s="77">
        <v>939.54399999999998</v>
      </c>
      <c r="F199" s="109">
        <f t="shared" si="43"/>
        <v>300</v>
      </c>
      <c r="G199" s="93">
        <f t="shared" si="44"/>
        <v>70.465800000000002</v>
      </c>
      <c r="H199" s="93">
        <f t="shared" si="45"/>
        <v>140.9316</v>
      </c>
      <c r="I199" s="93">
        <f t="shared" si="46"/>
        <v>211.3974</v>
      </c>
      <c r="J199" s="93">
        <f t="shared" si="47"/>
        <v>281.86320000000001</v>
      </c>
      <c r="K199" s="85">
        <v>281.86320000000001</v>
      </c>
      <c r="L199" s="85" t="s">
        <v>71</v>
      </c>
      <c r="M199" s="85"/>
      <c r="N199" s="79" t="str">
        <f t="shared" si="35"/>
        <v>Nee</v>
      </c>
      <c r="O199" s="79">
        <f t="shared" si="36"/>
        <v>300</v>
      </c>
      <c r="P199" s="115">
        <f t="shared" si="37"/>
        <v>300</v>
      </c>
      <c r="Z199" s="85"/>
      <c r="AA199" s="85">
        <v>15</v>
      </c>
    </row>
    <row r="200" spans="1:27" ht="15.75" x14ac:dyDescent="0.3">
      <c r="A200" s="85" t="s">
        <v>240</v>
      </c>
      <c r="B200" s="110">
        <v>282.9162</v>
      </c>
      <c r="C200" s="91">
        <v>0</v>
      </c>
      <c r="D200" s="77">
        <v>0</v>
      </c>
      <c r="E200" s="77">
        <v>943.05399999999997</v>
      </c>
      <c r="F200" s="109">
        <f t="shared" si="43"/>
        <v>300</v>
      </c>
      <c r="G200" s="93">
        <f t="shared" si="44"/>
        <v>70.729050000000001</v>
      </c>
      <c r="H200" s="93">
        <f t="shared" si="45"/>
        <v>141.4581</v>
      </c>
      <c r="I200" s="93">
        <f t="shared" si="46"/>
        <v>212.18715</v>
      </c>
      <c r="J200" s="93">
        <f t="shared" si="47"/>
        <v>282.9162</v>
      </c>
      <c r="K200" s="85">
        <v>282.9162</v>
      </c>
      <c r="L200" s="85" t="s">
        <v>71</v>
      </c>
      <c r="M200" s="85"/>
      <c r="N200" s="79" t="str">
        <f t="shared" si="35"/>
        <v>Nee</v>
      </c>
      <c r="O200" s="79">
        <f t="shared" si="36"/>
        <v>300</v>
      </c>
      <c r="P200" s="115">
        <f t="shared" si="37"/>
        <v>300</v>
      </c>
      <c r="Z200" s="85" t="str">
        <f>""</f>
        <v/>
      </c>
      <c r="AA200" s="85">
        <v>15</v>
      </c>
    </row>
    <row r="201" spans="1:27" ht="15.75" x14ac:dyDescent="0.3">
      <c r="A201" s="85" t="s">
        <v>241</v>
      </c>
      <c r="B201" s="110">
        <v>279.55110000000002</v>
      </c>
      <c r="C201" s="91">
        <v>0</v>
      </c>
      <c r="D201" s="77">
        <v>0</v>
      </c>
      <c r="E201" s="77">
        <v>939.54399999999998</v>
      </c>
      <c r="F201" s="109">
        <f t="shared" si="43"/>
        <v>297.53912536294206</v>
      </c>
      <c r="G201" s="93">
        <f t="shared" si="44"/>
        <v>70.465800000000002</v>
      </c>
      <c r="H201" s="93">
        <f t="shared" si="45"/>
        <v>140.9316</v>
      </c>
      <c r="I201" s="93">
        <f t="shared" si="46"/>
        <v>211.3974</v>
      </c>
      <c r="J201" s="93">
        <f t="shared" si="47"/>
        <v>279.55110000000002</v>
      </c>
      <c r="K201" s="85">
        <v>279.55110000000002</v>
      </c>
      <c r="L201" s="85" t="s">
        <v>71</v>
      </c>
      <c r="M201" s="85"/>
      <c r="N201" s="79" t="str">
        <f t="shared" si="35"/>
        <v>Nee</v>
      </c>
      <c r="O201" s="79">
        <f t="shared" si="36"/>
        <v>300</v>
      </c>
      <c r="P201" s="115">
        <f t="shared" si="37"/>
        <v>297.53899999999999</v>
      </c>
      <c r="Z201" s="85" t="str">
        <f>""</f>
        <v/>
      </c>
      <c r="AA201" s="85">
        <v>15</v>
      </c>
    </row>
    <row r="202" spans="1:27" ht="15.75" x14ac:dyDescent="0.3">
      <c r="A202" s="85" t="s">
        <v>242</v>
      </c>
      <c r="B202" s="110">
        <v>220.1705</v>
      </c>
      <c r="C202" s="91">
        <v>0</v>
      </c>
      <c r="D202" s="77">
        <v>0</v>
      </c>
      <c r="E202" s="77">
        <v>939.54399999999998</v>
      </c>
      <c r="F202" s="109">
        <f t="shared" si="43"/>
        <v>234.3376148429451</v>
      </c>
      <c r="G202" s="93">
        <f t="shared" si="44"/>
        <v>70.465800000000002</v>
      </c>
      <c r="H202" s="93">
        <f t="shared" si="45"/>
        <v>140.9316</v>
      </c>
      <c r="I202" s="93">
        <f t="shared" si="46"/>
        <v>211.3974</v>
      </c>
      <c r="J202" s="93">
        <f t="shared" si="47"/>
        <v>220.1705</v>
      </c>
      <c r="K202" s="85">
        <v>220.1705</v>
      </c>
      <c r="L202" s="85" t="s">
        <v>71</v>
      </c>
      <c r="M202" s="85"/>
      <c r="N202" s="79" t="str">
        <f t="shared" si="35"/>
        <v>Nee</v>
      </c>
      <c r="O202" s="79">
        <f t="shared" si="36"/>
        <v>300</v>
      </c>
      <c r="P202" s="115">
        <f t="shared" si="37"/>
        <v>234.33799999999999</v>
      </c>
      <c r="Z202" s="85" t="str">
        <f>""</f>
        <v/>
      </c>
      <c r="AA202" s="85">
        <v>15</v>
      </c>
    </row>
    <row r="203" spans="1:27" x14ac:dyDescent="0.2">
      <c r="A203" s="85" t="s">
        <v>385</v>
      </c>
      <c r="B203" s="110">
        <v>281.86320000000001</v>
      </c>
      <c r="C203" s="91">
        <v>0</v>
      </c>
      <c r="D203" s="77">
        <v>0</v>
      </c>
      <c r="E203" s="77">
        <v>939.54399999999998</v>
      </c>
      <c r="F203" s="109">
        <f t="shared" si="43"/>
        <v>300</v>
      </c>
      <c r="G203" s="93">
        <f t="shared" si="44"/>
        <v>70.465800000000002</v>
      </c>
      <c r="H203" s="93">
        <f t="shared" si="45"/>
        <v>140.9316</v>
      </c>
      <c r="I203" s="93">
        <f t="shared" si="46"/>
        <v>211.3974</v>
      </c>
      <c r="J203" s="93">
        <f t="shared" si="47"/>
        <v>281.86320000000001</v>
      </c>
      <c r="K203" s="85">
        <v>281.86320000000001</v>
      </c>
      <c r="L203" s="85" t="s">
        <v>71</v>
      </c>
      <c r="M203" s="85"/>
      <c r="N203" s="79" t="str">
        <f t="shared" si="35"/>
        <v>Nee</v>
      </c>
      <c r="O203" s="79">
        <f t="shared" si="36"/>
        <v>300</v>
      </c>
      <c r="P203" s="115">
        <f t="shared" si="37"/>
        <v>300</v>
      </c>
      <c r="Z203" s="85"/>
      <c r="AA203" s="85">
        <v>15</v>
      </c>
    </row>
    <row r="204" spans="1:27" x14ac:dyDescent="0.2">
      <c r="A204" s="85" t="s">
        <v>386</v>
      </c>
      <c r="B204" s="110">
        <v>281.86320000000001</v>
      </c>
      <c r="C204" s="91">
        <v>0</v>
      </c>
      <c r="D204" s="77">
        <v>0</v>
      </c>
      <c r="E204" s="77">
        <v>939.54399999999998</v>
      </c>
      <c r="F204" s="109">
        <f t="shared" si="43"/>
        <v>300</v>
      </c>
      <c r="G204" s="93">
        <f t="shared" si="44"/>
        <v>70.465800000000002</v>
      </c>
      <c r="H204" s="93">
        <f t="shared" si="45"/>
        <v>140.9316</v>
      </c>
      <c r="I204" s="93">
        <f t="shared" si="46"/>
        <v>211.3974</v>
      </c>
      <c r="J204" s="93">
        <f t="shared" si="47"/>
        <v>281.86320000000001</v>
      </c>
      <c r="K204" s="85">
        <v>281.86320000000001</v>
      </c>
      <c r="L204" s="85" t="s">
        <v>71</v>
      </c>
      <c r="M204" s="85"/>
      <c r="N204" s="79" t="str">
        <f t="shared" si="35"/>
        <v>Nee</v>
      </c>
      <c r="O204" s="79">
        <f t="shared" si="36"/>
        <v>300</v>
      </c>
      <c r="P204" s="115">
        <f t="shared" si="37"/>
        <v>300</v>
      </c>
      <c r="Z204" s="85"/>
      <c r="AA204" s="85">
        <v>15</v>
      </c>
    </row>
    <row r="205" spans="1:27" x14ac:dyDescent="0.2">
      <c r="A205" s="85"/>
      <c r="B205" s="110"/>
      <c r="C205" s="91"/>
      <c r="D205" s="77"/>
      <c r="E205" s="77"/>
      <c r="F205" s="109"/>
      <c r="G205" s="93"/>
      <c r="H205" s="93"/>
      <c r="I205" s="93"/>
      <c r="J205" s="93"/>
      <c r="K205" s="85"/>
      <c r="L205" s="85"/>
      <c r="M205" s="85"/>
      <c r="N205" s="79"/>
      <c r="O205" s="79"/>
      <c r="P205" s="115"/>
      <c r="Z205" s="85"/>
      <c r="AA205" s="85"/>
    </row>
    <row r="206" spans="1:27" ht="14.25" x14ac:dyDescent="0.2">
      <c r="A206" s="122" t="s">
        <v>243</v>
      </c>
      <c r="B206" s="110"/>
      <c r="C206" s="91"/>
      <c r="D206" s="77"/>
      <c r="E206" s="77"/>
      <c r="F206" s="109"/>
      <c r="G206" s="93"/>
      <c r="H206" s="93"/>
      <c r="I206" s="93"/>
      <c r="J206" s="93"/>
      <c r="K206" s="85"/>
      <c r="L206" s="85"/>
      <c r="M206" s="85"/>
      <c r="N206" s="79"/>
      <c r="O206" s="79"/>
      <c r="P206" s="115"/>
      <c r="Z206" s="85"/>
      <c r="AA206" s="85"/>
    </row>
    <row r="207" spans="1:27" ht="15.75" x14ac:dyDescent="0.3">
      <c r="A207" s="85" t="s">
        <v>244</v>
      </c>
      <c r="B207" s="110">
        <v>236.12180000000001</v>
      </c>
      <c r="C207" s="91">
        <v>0</v>
      </c>
      <c r="D207" s="77">
        <v>0</v>
      </c>
      <c r="E207" s="77">
        <v>943.05399999999997</v>
      </c>
      <c r="F207" s="109">
        <f t="shared" ref="F207:F216" si="48">(B207-D207)*1000/E207</f>
        <v>250.37993582552008</v>
      </c>
      <c r="G207" s="93">
        <f t="shared" ref="G207:G216" si="49">MIN($B207,(75*$E207/1000)+$D207)</f>
        <v>70.729050000000001</v>
      </c>
      <c r="H207" s="93">
        <f t="shared" ref="H207:H216" si="50">MIN($B207,(150*$E207/1000)+$D207)</f>
        <v>141.4581</v>
      </c>
      <c r="I207" s="93">
        <f t="shared" ref="I207:I216" si="51">MIN($B207,(225*$E207/1000)+$D207)</f>
        <v>212.18715</v>
      </c>
      <c r="J207" s="93">
        <f t="shared" ref="J207:J216" si="52">MIN($B207,(300*$E207/1000)+$D207)</f>
        <v>236.12180000000001</v>
      </c>
      <c r="K207" s="85">
        <v>236.12180000000001</v>
      </c>
      <c r="L207" s="85" t="s">
        <v>71</v>
      </c>
      <c r="M207" s="85"/>
      <c r="N207" s="79" t="str">
        <f t="shared" si="35"/>
        <v>Nee</v>
      </c>
      <c r="O207" s="79">
        <f t="shared" si="36"/>
        <v>300</v>
      </c>
      <c r="P207" s="115">
        <f t="shared" si="37"/>
        <v>250.38</v>
      </c>
      <c r="Z207" s="85" t="str">
        <f>""</f>
        <v/>
      </c>
      <c r="AA207" s="85">
        <v>15</v>
      </c>
    </row>
    <row r="208" spans="1:27" ht="15.75" x14ac:dyDescent="0.3">
      <c r="A208" s="85" t="s">
        <v>245</v>
      </c>
      <c r="B208" s="110">
        <v>234.77440000000001</v>
      </c>
      <c r="C208" s="91">
        <v>0</v>
      </c>
      <c r="D208" s="77">
        <v>0</v>
      </c>
      <c r="E208" s="77">
        <v>939.54399999999998</v>
      </c>
      <c r="F208" s="109">
        <f t="shared" si="48"/>
        <v>249.88121897431097</v>
      </c>
      <c r="G208" s="93">
        <f t="shared" si="49"/>
        <v>70.465800000000002</v>
      </c>
      <c r="H208" s="93">
        <f t="shared" si="50"/>
        <v>140.9316</v>
      </c>
      <c r="I208" s="93">
        <f t="shared" si="51"/>
        <v>211.3974</v>
      </c>
      <c r="J208" s="93">
        <f t="shared" si="52"/>
        <v>234.77440000000001</v>
      </c>
      <c r="K208" s="85">
        <v>234.77440000000001</v>
      </c>
      <c r="L208" s="85" t="s">
        <v>71</v>
      </c>
      <c r="M208" s="85"/>
      <c r="N208" s="79" t="str">
        <f t="shared" si="35"/>
        <v>Nee</v>
      </c>
      <c r="O208" s="79">
        <f t="shared" si="36"/>
        <v>300</v>
      </c>
      <c r="P208" s="115">
        <f t="shared" si="37"/>
        <v>249.881</v>
      </c>
      <c r="Z208" s="85" t="str">
        <f>""</f>
        <v/>
      </c>
      <c r="AA208" s="85">
        <v>15</v>
      </c>
    </row>
    <row r="209" spans="1:27" x14ac:dyDescent="0.2">
      <c r="A209" s="85" t="s">
        <v>387</v>
      </c>
      <c r="B209" s="110">
        <v>281.86320000000001</v>
      </c>
      <c r="C209" s="91">
        <v>0</v>
      </c>
      <c r="D209" s="77">
        <v>0</v>
      </c>
      <c r="E209" s="77">
        <v>939.54399999999998</v>
      </c>
      <c r="F209" s="109">
        <f t="shared" si="48"/>
        <v>300</v>
      </c>
      <c r="G209" s="93">
        <f t="shared" si="49"/>
        <v>70.465800000000002</v>
      </c>
      <c r="H209" s="93">
        <f t="shared" si="50"/>
        <v>140.9316</v>
      </c>
      <c r="I209" s="93">
        <f t="shared" si="51"/>
        <v>211.3974</v>
      </c>
      <c r="J209" s="93">
        <f t="shared" si="52"/>
        <v>281.86320000000001</v>
      </c>
      <c r="K209" s="85">
        <v>281.86320000000001</v>
      </c>
      <c r="L209" s="85" t="s">
        <v>71</v>
      </c>
      <c r="M209" s="85"/>
      <c r="N209" s="79" t="str">
        <f t="shared" si="35"/>
        <v>Nee</v>
      </c>
      <c r="O209" s="79">
        <f t="shared" si="36"/>
        <v>300</v>
      </c>
      <c r="P209" s="115">
        <f t="shared" si="37"/>
        <v>300</v>
      </c>
      <c r="Z209" s="85"/>
      <c r="AA209" s="85">
        <v>15</v>
      </c>
    </row>
    <row r="210" spans="1:27" ht="15.75" x14ac:dyDescent="0.3">
      <c r="A210" s="85" t="s">
        <v>246</v>
      </c>
      <c r="B210" s="110">
        <v>179.3614</v>
      </c>
      <c r="C210" s="91">
        <v>0</v>
      </c>
      <c r="D210" s="77">
        <v>0</v>
      </c>
      <c r="E210" s="77">
        <v>906.82500000000005</v>
      </c>
      <c r="F210" s="109">
        <f t="shared" si="48"/>
        <v>197.79053290326135</v>
      </c>
      <c r="G210" s="93">
        <f t="shared" si="49"/>
        <v>68.011875000000003</v>
      </c>
      <c r="H210" s="93">
        <f t="shared" si="50"/>
        <v>136.02375000000001</v>
      </c>
      <c r="I210" s="93">
        <f t="shared" si="51"/>
        <v>179.3614</v>
      </c>
      <c r="J210" s="93">
        <f t="shared" si="52"/>
        <v>179.3614</v>
      </c>
      <c r="K210" s="85">
        <v>179.3614</v>
      </c>
      <c r="L210" s="85" t="s">
        <v>71</v>
      </c>
      <c r="M210" s="85"/>
      <c r="N210" s="79" t="str">
        <f t="shared" si="35"/>
        <v>Nee</v>
      </c>
      <c r="O210" s="79">
        <f t="shared" si="36"/>
        <v>300</v>
      </c>
      <c r="P210" s="115">
        <f t="shared" si="37"/>
        <v>197.791</v>
      </c>
      <c r="Z210" s="85" t="str">
        <f>""</f>
        <v/>
      </c>
      <c r="AA210" s="85">
        <v>15</v>
      </c>
    </row>
    <row r="211" spans="1:27" ht="15.75" x14ac:dyDescent="0.3">
      <c r="A211" s="85" t="s">
        <v>247</v>
      </c>
      <c r="B211" s="110">
        <v>178.2373</v>
      </c>
      <c r="C211" s="91">
        <v>0</v>
      </c>
      <c r="D211" s="77">
        <v>0</v>
      </c>
      <c r="E211" s="77">
        <v>902.01499999999999</v>
      </c>
      <c r="F211" s="109">
        <f t="shared" si="48"/>
        <v>197.59904214453198</v>
      </c>
      <c r="G211" s="93">
        <f t="shared" si="49"/>
        <v>67.651124999999993</v>
      </c>
      <c r="H211" s="93">
        <f t="shared" si="50"/>
        <v>135.30224999999999</v>
      </c>
      <c r="I211" s="93">
        <f t="shared" si="51"/>
        <v>178.2373</v>
      </c>
      <c r="J211" s="93">
        <f t="shared" si="52"/>
        <v>178.2373</v>
      </c>
      <c r="K211" s="85">
        <v>178.2373</v>
      </c>
      <c r="L211" s="85" t="s">
        <v>71</v>
      </c>
      <c r="M211" s="85"/>
      <c r="N211" s="79" t="str">
        <f t="shared" si="35"/>
        <v>Nee</v>
      </c>
      <c r="O211" s="79">
        <f t="shared" si="36"/>
        <v>300</v>
      </c>
      <c r="P211" s="115">
        <f t="shared" si="37"/>
        <v>197.59899999999999</v>
      </c>
      <c r="Z211" s="85" t="str">
        <f>""</f>
        <v/>
      </c>
      <c r="AA211" s="85">
        <v>15</v>
      </c>
    </row>
    <row r="212" spans="1:27" x14ac:dyDescent="0.2">
      <c r="A212" s="85" t="s">
        <v>388</v>
      </c>
      <c r="B212" s="110">
        <v>228.81039999999999</v>
      </c>
      <c r="C212" s="91">
        <v>0</v>
      </c>
      <c r="D212" s="77">
        <v>0</v>
      </c>
      <c r="E212" s="77">
        <v>902.01499999999999</v>
      </c>
      <c r="F212" s="109">
        <f t="shared" si="48"/>
        <v>253.66584812891139</v>
      </c>
      <c r="G212" s="93">
        <f t="shared" si="49"/>
        <v>67.651124999999993</v>
      </c>
      <c r="H212" s="93">
        <f t="shared" si="50"/>
        <v>135.30224999999999</v>
      </c>
      <c r="I212" s="93">
        <f t="shared" si="51"/>
        <v>202.95337499999999</v>
      </c>
      <c r="J212" s="93">
        <f t="shared" si="52"/>
        <v>228.81039999999999</v>
      </c>
      <c r="K212" s="85">
        <v>228.81039999999999</v>
      </c>
      <c r="L212" s="85" t="s">
        <v>71</v>
      </c>
      <c r="M212" s="85"/>
      <c r="N212" s="79" t="str">
        <f t="shared" si="35"/>
        <v>Nee</v>
      </c>
      <c r="O212" s="79">
        <f t="shared" si="36"/>
        <v>300</v>
      </c>
      <c r="P212" s="115">
        <f t="shared" si="37"/>
        <v>253.666</v>
      </c>
      <c r="Z212" s="85"/>
      <c r="AA212" s="85">
        <v>15</v>
      </c>
    </row>
    <row r="213" spans="1:27" ht="15.75" x14ac:dyDescent="0.3">
      <c r="A213" s="85" t="s">
        <v>248</v>
      </c>
      <c r="B213" s="110">
        <v>151.5119</v>
      </c>
      <c r="C213" s="91">
        <v>0</v>
      </c>
      <c r="D213" s="77">
        <v>0</v>
      </c>
      <c r="E213" s="77">
        <v>912.9</v>
      </c>
      <c r="F213" s="109">
        <f t="shared" si="48"/>
        <v>165.96768539818163</v>
      </c>
      <c r="G213" s="93">
        <f t="shared" si="49"/>
        <v>68.467500000000001</v>
      </c>
      <c r="H213" s="93">
        <f t="shared" si="50"/>
        <v>136.935</v>
      </c>
      <c r="I213" s="93">
        <f t="shared" si="51"/>
        <v>151.5119</v>
      </c>
      <c r="J213" s="93">
        <f t="shared" si="52"/>
        <v>151.5119</v>
      </c>
      <c r="K213" s="85">
        <v>151.5119</v>
      </c>
      <c r="L213" s="85" t="s">
        <v>71</v>
      </c>
      <c r="M213" s="85"/>
      <c r="N213" s="79" t="str">
        <f t="shared" si="35"/>
        <v>Nee</v>
      </c>
      <c r="O213" s="79">
        <f t="shared" si="36"/>
        <v>300</v>
      </c>
      <c r="P213" s="115">
        <f t="shared" si="37"/>
        <v>165.96799999999999</v>
      </c>
      <c r="Z213" s="85" t="str">
        <f>""</f>
        <v/>
      </c>
      <c r="AA213" s="85">
        <v>15</v>
      </c>
    </row>
    <row r="214" spans="1:27" ht="15.75" x14ac:dyDescent="0.3">
      <c r="A214" s="85" t="s">
        <v>249</v>
      </c>
      <c r="B214" s="110">
        <v>155.80500000000001</v>
      </c>
      <c r="C214" s="91">
        <v>0</v>
      </c>
      <c r="D214" s="77">
        <v>0</v>
      </c>
      <c r="E214" s="77">
        <v>908.09</v>
      </c>
      <c r="F214" s="109">
        <f t="shared" si="48"/>
        <v>171.5744034181634</v>
      </c>
      <c r="G214" s="93">
        <f t="shared" si="49"/>
        <v>68.106750000000005</v>
      </c>
      <c r="H214" s="93">
        <f t="shared" si="50"/>
        <v>136.21350000000001</v>
      </c>
      <c r="I214" s="93">
        <f t="shared" si="51"/>
        <v>155.80500000000001</v>
      </c>
      <c r="J214" s="93">
        <f t="shared" si="52"/>
        <v>155.80500000000001</v>
      </c>
      <c r="K214" s="85">
        <v>155.80500000000001</v>
      </c>
      <c r="L214" s="85" t="s">
        <v>71</v>
      </c>
      <c r="M214" s="85"/>
      <c r="N214" s="79" t="str">
        <f t="shared" si="35"/>
        <v>Nee</v>
      </c>
      <c r="O214" s="79">
        <f t="shared" si="36"/>
        <v>300</v>
      </c>
      <c r="P214" s="115">
        <f t="shared" si="37"/>
        <v>171.57400000000001</v>
      </c>
      <c r="Z214" s="85" t="str">
        <f>""</f>
        <v/>
      </c>
      <c r="AA214" s="85">
        <v>15</v>
      </c>
    </row>
    <row r="215" spans="1:27" x14ac:dyDescent="0.2">
      <c r="A215" s="85" t="s">
        <v>389</v>
      </c>
      <c r="B215" s="110">
        <v>206.37809999999999</v>
      </c>
      <c r="C215" s="91">
        <v>0</v>
      </c>
      <c r="D215" s="77">
        <v>0</v>
      </c>
      <c r="E215" s="77">
        <v>908.09</v>
      </c>
      <c r="F215" s="109">
        <f t="shared" si="48"/>
        <v>227.26613000914003</v>
      </c>
      <c r="G215" s="93">
        <f t="shared" si="49"/>
        <v>68.106750000000005</v>
      </c>
      <c r="H215" s="93">
        <f t="shared" si="50"/>
        <v>136.21350000000001</v>
      </c>
      <c r="I215" s="93">
        <f t="shared" si="51"/>
        <v>204.32024999999999</v>
      </c>
      <c r="J215" s="93">
        <f t="shared" si="52"/>
        <v>206.37809999999999</v>
      </c>
      <c r="K215" s="85">
        <v>206.37809999999999</v>
      </c>
      <c r="L215" s="85" t="s">
        <v>71</v>
      </c>
      <c r="M215" s="85"/>
      <c r="N215" s="79" t="str">
        <f t="shared" si="35"/>
        <v>Nee</v>
      </c>
      <c r="O215" s="79">
        <f t="shared" si="36"/>
        <v>300</v>
      </c>
      <c r="P215" s="115">
        <f t="shared" si="37"/>
        <v>227.26599999999999</v>
      </c>
      <c r="Z215" s="85"/>
      <c r="AA215" s="85">
        <v>15</v>
      </c>
    </row>
    <row r="216" spans="1:27" x14ac:dyDescent="0.2">
      <c r="A216" s="85" t="s">
        <v>250</v>
      </c>
      <c r="B216" s="110">
        <v>187.572</v>
      </c>
      <c r="C216" s="91">
        <v>0</v>
      </c>
      <c r="D216" s="77">
        <v>0</v>
      </c>
      <c r="E216" s="77">
        <v>625.24</v>
      </c>
      <c r="F216" s="109">
        <f t="shared" si="48"/>
        <v>300</v>
      </c>
      <c r="G216" s="93">
        <f t="shared" si="49"/>
        <v>46.893000000000001</v>
      </c>
      <c r="H216" s="93">
        <f t="shared" si="50"/>
        <v>93.786000000000001</v>
      </c>
      <c r="I216" s="93">
        <f t="shared" si="51"/>
        <v>140.679</v>
      </c>
      <c r="J216" s="93">
        <f t="shared" si="52"/>
        <v>187.572</v>
      </c>
      <c r="K216" s="85">
        <v>187.572</v>
      </c>
      <c r="L216" s="85" t="s">
        <v>71</v>
      </c>
      <c r="M216" s="85"/>
      <c r="N216" s="79" t="str">
        <f t="shared" si="35"/>
        <v>Nee</v>
      </c>
      <c r="O216" s="79">
        <f t="shared" si="36"/>
        <v>300</v>
      </c>
      <c r="P216" s="115">
        <f t="shared" si="37"/>
        <v>300</v>
      </c>
      <c r="Z216" s="85"/>
      <c r="AA216" s="85">
        <v>15</v>
      </c>
    </row>
    <row r="217" spans="1:27" x14ac:dyDescent="0.2">
      <c r="A217" s="85"/>
      <c r="B217" s="110"/>
      <c r="C217" s="91"/>
      <c r="D217" s="77"/>
      <c r="E217" s="77"/>
      <c r="F217" s="109"/>
      <c r="G217" s="93"/>
      <c r="H217" s="93"/>
      <c r="I217" s="93"/>
      <c r="J217" s="93"/>
      <c r="K217" s="85"/>
      <c r="L217" s="85"/>
      <c r="M217" s="85"/>
      <c r="N217" s="79"/>
      <c r="O217" s="79"/>
      <c r="P217" s="115"/>
      <c r="Z217" s="85"/>
      <c r="AA217" s="85"/>
    </row>
    <row r="218" spans="1:27" ht="14.25" x14ac:dyDescent="0.2">
      <c r="A218" s="122" t="s">
        <v>251</v>
      </c>
      <c r="B218" s="110"/>
      <c r="C218" s="91"/>
      <c r="D218" s="77"/>
      <c r="E218" s="77"/>
      <c r="F218" s="109"/>
      <c r="G218" s="93"/>
      <c r="H218" s="93"/>
      <c r="I218" s="93"/>
      <c r="J218" s="93"/>
      <c r="K218" s="85"/>
      <c r="L218" s="85"/>
      <c r="M218" s="85"/>
      <c r="N218" s="79"/>
      <c r="O218" s="79"/>
      <c r="P218" s="115"/>
      <c r="Z218" s="85"/>
      <c r="AA218" s="85"/>
    </row>
    <row r="219" spans="1:27" ht="15.75" x14ac:dyDescent="0.3">
      <c r="A219" s="85" t="s">
        <v>252</v>
      </c>
      <c r="B219" s="110">
        <v>282.9162</v>
      </c>
      <c r="C219" s="91">
        <v>0</v>
      </c>
      <c r="D219" s="77">
        <v>0</v>
      </c>
      <c r="E219" s="77">
        <v>943.05399999999997</v>
      </c>
      <c r="F219" s="109">
        <f>(B219-D219)*1000/E219</f>
        <v>300</v>
      </c>
      <c r="G219" s="93">
        <f>MIN($B219,(75*$E219/1000)+$D219)</f>
        <v>70.729050000000001</v>
      </c>
      <c r="H219" s="93">
        <f>MIN($B219,(150*$E219/1000)+$D219)</f>
        <v>141.4581</v>
      </c>
      <c r="I219" s="93">
        <f>MIN($B219,(225*$E219/1000)+$D219)</f>
        <v>212.18715</v>
      </c>
      <c r="J219" s="93">
        <f>MIN($B219,(300*$E219/1000)+$D219)</f>
        <v>282.9162</v>
      </c>
      <c r="K219" s="85">
        <v>282.9162</v>
      </c>
      <c r="L219" s="85" t="s">
        <v>71</v>
      </c>
      <c r="M219" s="85"/>
      <c r="N219" s="79" t="str">
        <f t="shared" si="35"/>
        <v>Nee</v>
      </c>
      <c r="O219" s="79">
        <f t="shared" si="36"/>
        <v>300</v>
      </c>
      <c r="P219" s="115">
        <f t="shared" si="37"/>
        <v>300</v>
      </c>
      <c r="Z219" s="85" t="str">
        <f>""</f>
        <v/>
      </c>
      <c r="AA219" s="85">
        <v>15</v>
      </c>
    </row>
    <row r="220" spans="1:27" ht="15.75" x14ac:dyDescent="0.3">
      <c r="A220" s="85" t="s">
        <v>253</v>
      </c>
      <c r="B220" s="110">
        <v>279.55110000000002</v>
      </c>
      <c r="C220" s="91">
        <v>0</v>
      </c>
      <c r="D220" s="77">
        <v>0</v>
      </c>
      <c r="E220" s="77">
        <v>939.54399999999998</v>
      </c>
      <c r="F220" s="109">
        <f>(B220-D220)*1000/E220</f>
        <v>297.53912536294206</v>
      </c>
      <c r="G220" s="93">
        <f>MIN($B220,(75*$E220/1000)+$D220)</f>
        <v>70.465800000000002</v>
      </c>
      <c r="H220" s="93">
        <f>MIN($B220,(150*$E220/1000)+$D220)</f>
        <v>140.9316</v>
      </c>
      <c r="I220" s="93">
        <f>MIN($B220,(225*$E220/1000)+$D220)</f>
        <v>211.3974</v>
      </c>
      <c r="J220" s="93">
        <f>MIN($B220,(300*$E220/1000)+$D220)</f>
        <v>279.55110000000002</v>
      </c>
      <c r="K220" s="85">
        <v>279.55110000000002</v>
      </c>
      <c r="L220" s="85" t="s">
        <v>71</v>
      </c>
      <c r="M220" s="85"/>
      <c r="N220" s="79" t="str">
        <f t="shared" si="35"/>
        <v>Nee</v>
      </c>
      <c r="O220" s="79">
        <f t="shared" si="36"/>
        <v>300</v>
      </c>
      <c r="P220" s="115">
        <f t="shared" si="37"/>
        <v>297.53899999999999</v>
      </c>
      <c r="Z220" s="85" t="str">
        <f>""</f>
        <v/>
      </c>
      <c r="AA220" s="85">
        <v>15</v>
      </c>
    </row>
    <row r="221" spans="1:27" ht="15.75" x14ac:dyDescent="0.3">
      <c r="A221" s="85" t="s">
        <v>254</v>
      </c>
      <c r="B221" s="110">
        <v>220.1705</v>
      </c>
      <c r="C221" s="91">
        <v>0</v>
      </c>
      <c r="D221" s="77">
        <v>0</v>
      </c>
      <c r="E221" s="77">
        <v>939.54399999999998</v>
      </c>
      <c r="F221" s="109">
        <f>(B221-D221)*1000/E221</f>
        <v>234.3376148429451</v>
      </c>
      <c r="G221" s="93">
        <f>MIN($B221,(75*$E221/1000)+$D221)</f>
        <v>70.465800000000002</v>
      </c>
      <c r="H221" s="93">
        <f>MIN($B221,(150*$E221/1000)+$D221)</f>
        <v>140.9316</v>
      </c>
      <c r="I221" s="93">
        <f>MIN($B221,(225*$E221/1000)+$D221)</f>
        <v>211.3974</v>
      </c>
      <c r="J221" s="93">
        <f>MIN($B221,(300*$E221/1000)+$D221)</f>
        <v>220.1705</v>
      </c>
      <c r="K221" s="85">
        <v>220.1705</v>
      </c>
      <c r="L221" s="85" t="s">
        <v>71</v>
      </c>
      <c r="M221" s="85"/>
      <c r="N221" s="79" t="str">
        <f t="shared" ref="N221:N284" si="53">IF(M221="","Nee","Ja")</f>
        <v>Nee</v>
      </c>
      <c r="O221" s="79">
        <f t="shared" ref="O221:O284" si="54">IF(N221="Nee",300,400)</f>
        <v>300</v>
      </c>
      <c r="P221" s="115">
        <f t="shared" ref="P221:P284" si="55">ROUND(((B221-D221)*1000/E221),3)</f>
        <v>234.33799999999999</v>
      </c>
      <c r="Z221" s="85" t="str">
        <f>""</f>
        <v/>
      </c>
      <c r="AA221" s="85">
        <v>15</v>
      </c>
    </row>
    <row r="222" spans="1:27" x14ac:dyDescent="0.2">
      <c r="A222" s="85" t="s">
        <v>390</v>
      </c>
      <c r="B222" s="110">
        <v>281.86320000000001</v>
      </c>
      <c r="C222" s="91">
        <v>0</v>
      </c>
      <c r="D222" s="77">
        <v>0</v>
      </c>
      <c r="E222" s="77">
        <v>939.54399999999998</v>
      </c>
      <c r="F222" s="109">
        <f>(B222-D222)*1000/E222</f>
        <v>300</v>
      </c>
      <c r="G222" s="93">
        <f>MIN($B222,(75*$E222/1000)+$D222)</f>
        <v>70.465800000000002</v>
      </c>
      <c r="H222" s="93">
        <f>MIN($B222,(150*$E222/1000)+$D222)</f>
        <v>140.9316</v>
      </c>
      <c r="I222" s="93">
        <f>MIN($B222,(225*$E222/1000)+$D222)</f>
        <v>211.3974</v>
      </c>
      <c r="J222" s="93">
        <f>MIN($B222,(300*$E222/1000)+$D222)</f>
        <v>281.86320000000001</v>
      </c>
      <c r="K222" s="85">
        <v>281.86320000000001</v>
      </c>
      <c r="L222" s="85" t="s">
        <v>71</v>
      </c>
      <c r="M222" s="85"/>
      <c r="N222" s="79" t="str">
        <f t="shared" si="53"/>
        <v>Nee</v>
      </c>
      <c r="O222" s="79">
        <f t="shared" si="54"/>
        <v>300</v>
      </c>
      <c r="P222" s="115">
        <f t="shared" si="55"/>
        <v>300</v>
      </c>
      <c r="Z222" s="85"/>
      <c r="AA222" s="85">
        <v>15</v>
      </c>
    </row>
    <row r="223" spans="1:27" x14ac:dyDescent="0.2">
      <c r="A223" s="85" t="s">
        <v>391</v>
      </c>
      <c r="B223" s="110">
        <v>281.86320000000001</v>
      </c>
      <c r="C223" s="91">
        <v>0</v>
      </c>
      <c r="D223" s="77">
        <v>0</v>
      </c>
      <c r="E223" s="77">
        <v>939.54399999999998</v>
      </c>
      <c r="F223" s="109">
        <f>(B223-D223)*1000/E223</f>
        <v>300</v>
      </c>
      <c r="G223" s="93">
        <f>MIN($B223,(75*$E223/1000)+$D223)</f>
        <v>70.465800000000002</v>
      </c>
      <c r="H223" s="93">
        <f>MIN($B223,(150*$E223/1000)+$D223)</f>
        <v>140.9316</v>
      </c>
      <c r="I223" s="93">
        <f>MIN($B223,(225*$E223/1000)+$D223)</f>
        <v>211.3974</v>
      </c>
      <c r="J223" s="93">
        <f>MIN($B223,(300*$E223/1000)+$D223)</f>
        <v>281.86320000000001</v>
      </c>
      <c r="K223" s="85">
        <v>281.86320000000001</v>
      </c>
      <c r="L223" s="85" t="s">
        <v>71</v>
      </c>
      <c r="M223" s="85"/>
      <c r="N223" s="79" t="str">
        <f t="shared" si="53"/>
        <v>Nee</v>
      </c>
      <c r="O223" s="79">
        <f t="shared" si="54"/>
        <v>300</v>
      </c>
      <c r="P223" s="115">
        <f t="shared" si="55"/>
        <v>300</v>
      </c>
      <c r="Z223" s="85"/>
      <c r="AA223" s="85">
        <v>15</v>
      </c>
    </row>
    <row r="224" spans="1:27" x14ac:dyDescent="0.2">
      <c r="A224" s="85"/>
      <c r="B224" s="110"/>
      <c r="C224" s="91"/>
      <c r="D224" s="77"/>
      <c r="E224" s="77"/>
      <c r="F224" s="109"/>
      <c r="G224" s="93"/>
      <c r="H224" s="93"/>
      <c r="I224" s="93"/>
      <c r="J224" s="93"/>
      <c r="K224" s="85"/>
      <c r="L224" s="85"/>
      <c r="M224" s="85"/>
      <c r="N224" s="79"/>
      <c r="O224" s="79"/>
      <c r="P224" s="115"/>
      <c r="Z224" s="85"/>
      <c r="AA224" s="85"/>
    </row>
    <row r="225" spans="1:27" ht="14.25" x14ac:dyDescent="0.2">
      <c r="A225" s="122" t="s">
        <v>255</v>
      </c>
      <c r="B225" s="110"/>
      <c r="C225" s="91"/>
      <c r="D225" s="77"/>
      <c r="E225" s="77"/>
      <c r="F225" s="109"/>
      <c r="G225" s="93"/>
      <c r="H225" s="93"/>
      <c r="I225" s="93"/>
      <c r="J225" s="93"/>
      <c r="K225" s="85"/>
      <c r="L225" s="85"/>
      <c r="M225" s="85"/>
      <c r="N225" s="79"/>
      <c r="O225" s="79"/>
      <c r="P225" s="115"/>
      <c r="Z225" s="85"/>
      <c r="AA225" s="85"/>
    </row>
    <row r="226" spans="1:27" ht="15.75" x14ac:dyDescent="0.3">
      <c r="A226" s="85" t="s">
        <v>256</v>
      </c>
      <c r="B226" s="110">
        <v>236.12180000000001</v>
      </c>
      <c r="C226" s="91">
        <v>0</v>
      </c>
      <c r="D226" s="77">
        <v>0</v>
      </c>
      <c r="E226" s="77">
        <v>943.05399999999997</v>
      </c>
      <c r="F226" s="109">
        <f>(B226-D226)*1000/E226</f>
        <v>250.37993582552008</v>
      </c>
      <c r="G226" s="93">
        <f>MIN($B226,(75*$E226/1000)+$D226)</f>
        <v>70.729050000000001</v>
      </c>
      <c r="H226" s="93">
        <f>MIN($B226,(150*$E226/1000)+$D226)</f>
        <v>141.4581</v>
      </c>
      <c r="I226" s="93">
        <f>MIN($B226,(225*$E226/1000)+$D226)</f>
        <v>212.18715</v>
      </c>
      <c r="J226" s="93">
        <f>MIN($B226,(300*$E226/1000)+$D226)</f>
        <v>236.12180000000001</v>
      </c>
      <c r="K226" s="85">
        <v>236.12180000000001</v>
      </c>
      <c r="L226" s="85" t="s">
        <v>71</v>
      </c>
      <c r="M226" s="85"/>
      <c r="N226" s="79" t="str">
        <f t="shared" si="53"/>
        <v>Nee</v>
      </c>
      <c r="O226" s="79">
        <f t="shared" si="54"/>
        <v>300</v>
      </c>
      <c r="P226" s="115">
        <f t="shared" si="55"/>
        <v>250.38</v>
      </c>
      <c r="Z226" s="85" t="str">
        <f>""</f>
        <v/>
      </c>
      <c r="AA226" s="85">
        <v>15</v>
      </c>
    </row>
    <row r="227" spans="1:27" ht="15.75" x14ac:dyDescent="0.3">
      <c r="A227" s="85" t="s">
        <v>257</v>
      </c>
      <c r="B227" s="110">
        <v>234.77440000000001</v>
      </c>
      <c r="C227" s="91">
        <v>0</v>
      </c>
      <c r="D227" s="77">
        <v>0</v>
      </c>
      <c r="E227" s="77">
        <v>939.54399999999998</v>
      </c>
      <c r="F227" s="109">
        <f>(B227-D227)*1000/E227</f>
        <v>249.88121897431097</v>
      </c>
      <c r="G227" s="93">
        <f>MIN($B227,(75*$E227/1000)+$D227)</f>
        <v>70.465800000000002</v>
      </c>
      <c r="H227" s="93">
        <f>MIN($B227,(150*$E227/1000)+$D227)</f>
        <v>140.9316</v>
      </c>
      <c r="I227" s="93">
        <f>MIN($B227,(225*$E227/1000)+$D227)</f>
        <v>211.3974</v>
      </c>
      <c r="J227" s="93">
        <f>MIN($B227,(300*$E227/1000)+$D227)</f>
        <v>234.77440000000001</v>
      </c>
      <c r="K227" s="85">
        <v>234.77440000000001</v>
      </c>
      <c r="L227" s="85" t="s">
        <v>71</v>
      </c>
      <c r="M227" s="85"/>
      <c r="N227" s="79" t="str">
        <f t="shared" si="53"/>
        <v>Nee</v>
      </c>
      <c r="O227" s="79">
        <f t="shared" si="54"/>
        <v>300</v>
      </c>
      <c r="P227" s="115">
        <f t="shared" si="55"/>
        <v>249.881</v>
      </c>
      <c r="Z227" s="85" t="str">
        <f>""</f>
        <v/>
      </c>
      <c r="AA227" s="85">
        <v>15</v>
      </c>
    </row>
    <row r="228" spans="1:27" x14ac:dyDescent="0.2">
      <c r="A228" s="85" t="s">
        <v>392</v>
      </c>
      <c r="B228" s="110">
        <v>281.86320000000001</v>
      </c>
      <c r="C228" s="91">
        <v>0</v>
      </c>
      <c r="D228" s="77">
        <v>0</v>
      </c>
      <c r="E228" s="77">
        <v>939.54399999999998</v>
      </c>
      <c r="F228" s="109">
        <f>(B228-D228)*1000/E228</f>
        <v>300</v>
      </c>
      <c r="G228" s="93">
        <f>MIN($B228,(75*$E228/1000)+$D228)</f>
        <v>70.465800000000002</v>
      </c>
      <c r="H228" s="93">
        <f>MIN($B228,(150*$E228/1000)+$D228)</f>
        <v>140.9316</v>
      </c>
      <c r="I228" s="93">
        <f>MIN($B228,(225*$E228/1000)+$D228)</f>
        <v>211.3974</v>
      </c>
      <c r="J228" s="93">
        <f>MIN($B228,(300*$E228/1000)+$D228)</f>
        <v>281.86320000000001</v>
      </c>
      <c r="K228" s="85">
        <v>281.86320000000001</v>
      </c>
      <c r="L228" s="85" t="s">
        <v>71</v>
      </c>
      <c r="M228" s="85"/>
      <c r="N228" s="79" t="str">
        <f t="shared" si="53"/>
        <v>Nee</v>
      </c>
      <c r="O228" s="79">
        <f t="shared" si="54"/>
        <v>300</v>
      </c>
      <c r="P228" s="115">
        <f t="shared" si="55"/>
        <v>300</v>
      </c>
      <c r="Z228" s="85" t="str">
        <f>""</f>
        <v/>
      </c>
      <c r="AA228" s="85">
        <v>15</v>
      </c>
    </row>
    <row r="229" spans="1:27" x14ac:dyDescent="0.2">
      <c r="A229" s="85"/>
      <c r="B229" s="110"/>
      <c r="C229" s="91"/>
      <c r="D229" s="77"/>
      <c r="E229" s="77"/>
      <c r="F229" s="109"/>
      <c r="G229" s="93"/>
      <c r="H229" s="93"/>
      <c r="I229" s="93"/>
      <c r="J229" s="93"/>
      <c r="K229" s="85"/>
      <c r="L229" s="85"/>
      <c r="M229" s="85"/>
      <c r="N229" s="79"/>
      <c r="O229" s="79"/>
      <c r="P229" s="115"/>
      <c r="Z229" s="85"/>
      <c r="AA229" s="85"/>
    </row>
    <row r="230" spans="1:27" ht="14.25" x14ac:dyDescent="0.2">
      <c r="A230" s="122" t="s">
        <v>258</v>
      </c>
      <c r="B230" s="110"/>
      <c r="C230" s="91"/>
      <c r="D230" s="77"/>
      <c r="E230" s="77"/>
      <c r="F230" s="109"/>
      <c r="G230" s="93"/>
      <c r="H230" s="93"/>
      <c r="I230" s="93"/>
      <c r="J230" s="93"/>
      <c r="K230" s="85"/>
      <c r="L230" s="85"/>
      <c r="M230" s="85"/>
      <c r="N230" s="79"/>
      <c r="O230" s="79"/>
      <c r="P230" s="115"/>
      <c r="Z230" s="85"/>
      <c r="AA230" s="85"/>
    </row>
    <row r="231" spans="1:27" ht="15.75" x14ac:dyDescent="0.3">
      <c r="A231" s="85" t="s">
        <v>259</v>
      </c>
      <c r="B231" s="110">
        <v>284.98390000000001</v>
      </c>
      <c r="C231" s="91">
        <v>91.350999999999999</v>
      </c>
      <c r="D231" s="77">
        <v>137.0265</v>
      </c>
      <c r="E231" s="77">
        <v>943.05399999999997</v>
      </c>
      <c r="F231" s="109">
        <f>(B231-D231)*1000/E231</f>
        <v>156.89175805415172</v>
      </c>
      <c r="G231" s="93">
        <f>MIN($B231,(75*$E231/1000)+$D231)</f>
        <v>207.75555</v>
      </c>
      <c r="H231" s="93">
        <f>MIN($B231,(150*$E231/1000)+$D231)</f>
        <v>278.4846</v>
      </c>
      <c r="I231" s="93">
        <f>MIN($B231,(225*$E231/1000)+$D231)</f>
        <v>284.98390000000001</v>
      </c>
      <c r="J231" s="93">
        <f>MIN($B231,(300*$E231/1000)+$D231)</f>
        <v>284.98390000000001</v>
      </c>
      <c r="K231" s="85">
        <v>284.98390000000001</v>
      </c>
      <c r="L231" s="85" t="s">
        <v>71</v>
      </c>
      <c r="M231" s="85"/>
      <c r="N231" s="79" t="str">
        <f t="shared" si="53"/>
        <v>Nee</v>
      </c>
      <c r="O231" s="79">
        <f t="shared" si="54"/>
        <v>300</v>
      </c>
      <c r="P231" s="115">
        <f t="shared" si="55"/>
        <v>156.892</v>
      </c>
      <c r="Z231" s="85" t="str">
        <f>""</f>
        <v/>
      </c>
      <c r="AA231" s="85">
        <v>15</v>
      </c>
    </row>
    <row r="232" spans="1:27" ht="15.75" x14ac:dyDescent="0.3">
      <c r="A232" s="85" t="s">
        <v>260</v>
      </c>
      <c r="B232" s="110">
        <v>279.55110000000002</v>
      </c>
      <c r="C232" s="91">
        <v>91.350999999999999</v>
      </c>
      <c r="D232" s="77">
        <v>137.0265</v>
      </c>
      <c r="E232" s="77">
        <v>939.54399999999998</v>
      </c>
      <c r="F232" s="109">
        <f>(B232-D232)*1000/E232</f>
        <v>151.69550335056158</v>
      </c>
      <c r="G232" s="93">
        <f>MIN($B232,(75*$E232/1000)+$D232)</f>
        <v>207.4923</v>
      </c>
      <c r="H232" s="93">
        <f>MIN($B232,(150*$E232/1000)+$D232)</f>
        <v>277.9581</v>
      </c>
      <c r="I232" s="93">
        <f>MIN($B232,(225*$E232/1000)+$D232)</f>
        <v>279.55110000000002</v>
      </c>
      <c r="J232" s="93">
        <f>MIN($B232,(300*$E232/1000)+$D232)</f>
        <v>279.55110000000002</v>
      </c>
      <c r="K232" s="85">
        <v>279.55110000000002</v>
      </c>
      <c r="L232" s="85" t="s">
        <v>71</v>
      </c>
      <c r="M232" s="85"/>
      <c r="N232" s="79" t="str">
        <f t="shared" si="53"/>
        <v>Nee</v>
      </c>
      <c r="O232" s="79">
        <f t="shared" si="54"/>
        <v>300</v>
      </c>
      <c r="P232" s="115">
        <f t="shared" si="55"/>
        <v>151.696</v>
      </c>
      <c r="Z232" s="85" t="str">
        <f>""</f>
        <v/>
      </c>
      <c r="AA232" s="85">
        <v>15</v>
      </c>
    </row>
    <row r="233" spans="1:27" ht="15.75" x14ac:dyDescent="0.3">
      <c r="A233" s="85" t="s">
        <v>261</v>
      </c>
      <c r="B233" s="110">
        <v>220.1705</v>
      </c>
      <c r="C233" s="91">
        <v>91.350999999999999</v>
      </c>
      <c r="D233" s="77">
        <v>137.0265</v>
      </c>
      <c r="E233" s="77">
        <v>939.54399999999998</v>
      </c>
      <c r="F233" s="109">
        <f>(B233-D233)*1000/E233</f>
        <v>88.493992830564622</v>
      </c>
      <c r="G233" s="93">
        <f>MIN($B233,(75*$E233/1000)+$D233)</f>
        <v>207.4923</v>
      </c>
      <c r="H233" s="93">
        <f>MIN($B233,(150*$E233/1000)+$D233)</f>
        <v>220.1705</v>
      </c>
      <c r="I233" s="93">
        <f>MIN($B233,(225*$E233/1000)+$D233)</f>
        <v>220.1705</v>
      </c>
      <c r="J233" s="93">
        <f>MIN($B233,(300*$E233/1000)+$D233)</f>
        <v>220.1705</v>
      </c>
      <c r="K233" s="85">
        <v>220.1705</v>
      </c>
      <c r="L233" s="85" t="s">
        <v>71</v>
      </c>
      <c r="M233" s="85"/>
      <c r="N233" s="79" t="str">
        <f t="shared" si="53"/>
        <v>Nee</v>
      </c>
      <c r="O233" s="79">
        <f t="shared" si="54"/>
        <v>300</v>
      </c>
      <c r="P233" s="115">
        <f t="shared" si="55"/>
        <v>88.494</v>
      </c>
      <c r="Z233" s="85" t="str">
        <f>""</f>
        <v/>
      </c>
      <c r="AA233" s="85">
        <v>15</v>
      </c>
    </row>
    <row r="234" spans="1:27" x14ac:dyDescent="0.2">
      <c r="A234" s="85" t="s">
        <v>393</v>
      </c>
      <c r="B234" s="110">
        <v>380.69729999999998</v>
      </c>
      <c r="C234" s="91">
        <v>91.350999999999999</v>
      </c>
      <c r="D234" s="77">
        <v>137.0265</v>
      </c>
      <c r="E234" s="77">
        <v>939.54399999999998</v>
      </c>
      <c r="F234" s="109">
        <f>(B234-D234)*1000/E234</f>
        <v>259.35006769241249</v>
      </c>
      <c r="G234" s="93">
        <f>MIN($B234,(75*$E234/1000)+$D234)</f>
        <v>207.4923</v>
      </c>
      <c r="H234" s="93">
        <f>MIN($B234,(150*$E234/1000)+$D234)</f>
        <v>277.9581</v>
      </c>
      <c r="I234" s="93">
        <f>MIN($B234,(225*$E234/1000)+$D234)</f>
        <v>348.4239</v>
      </c>
      <c r="J234" s="93">
        <f>MIN($B234,(300*$E234/1000)+$D234)</f>
        <v>380.69729999999998</v>
      </c>
      <c r="K234" s="85">
        <v>380.69729999999998</v>
      </c>
      <c r="L234" s="85" t="s">
        <v>71</v>
      </c>
      <c r="M234" s="85"/>
      <c r="N234" s="79" t="str">
        <f t="shared" si="53"/>
        <v>Nee</v>
      </c>
      <c r="O234" s="79">
        <f t="shared" si="54"/>
        <v>300</v>
      </c>
      <c r="P234" s="115">
        <f t="shared" si="55"/>
        <v>259.35000000000002</v>
      </c>
      <c r="Z234" s="85"/>
      <c r="AA234" s="85">
        <v>15</v>
      </c>
    </row>
    <row r="235" spans="1:27" x14ac:dyDescent="0.2">
      <c r="A235" s="85" t="s">
        <v>394</v>
      </c>
      <c r="B235" s="110">
        <v>321.31670000000003</v>
      </c>
      <c r="C235" s="91">
        <v>91.350999999999999</v>
      </c>
      <c r="D235" s="77">
        <v>137.0265</v>
      </c>
      <c r="E235" s="77">
        <v>939.54399999999998</v>
      </c>
      <c r="F235" s="109">
        <f>(B235-D235)*1000/E235</f>
        <v>196.14855717241559</v>
      </c>
      <c r="G235" s="93">
        <f>MIN($B235,(75*$E235/1000)+$D235)</f>
        <v>207.4923</v>
      </c>
      <c r="H235" s="93">
        <f>MIN($B235,(150*$E235/1000)+$D235)</f>
        <v>277.9581</v>
      </c>
      <c r="I235" s="93">
        <f>MIN($B235,(225*$E235/1000)+$D235)</f>
        <v>321.31670000000003</v>
      </c>
      <c r="J235" s="93">
        <f>MIN($B235,(300*$E235/1000)+$D235)</f>
        <v>321.31670000000003</v>
      </c>
      <c r="K235" s="85">
        <v>321.31670000000003</v>
      </c>
      <c r="L235" s="85" t="s">
        <v>71</v>
      </c>
      <c r="M235" s="85"/>
      <c r="N235" s="79" t="str">
        <f t="shared" si="53"/>
        <v>Nee</v>
      </c>
      <c r="O235" s="79">
        <f t="shared" si="54"/>
        <v>300</v>
      </c>
      <c r="P235" s="115">
        <f t="shared" si="55"/>
        <v>196.149</v>
      </c>
      <c r="Z235" s="85"/>
      <c r="AA235" s="85">
        <v>15</v>
      </c>
    </row>
    <row r="236" spans="1:27" x14ac:dyDescent="0.2">
      <c r="A236" s="85"/>
      <c r="B236" s="110"/>
      <c r="C236" s="91"/>
      <c r="D236" s="77"/>
      <c r="E236" s="77"/>
      <c r="F236" s="109"/>
      <c r="G236" s="93"/>
      <c r="H236" s="93"/>
      <c r="I236" s="93"/>
      <c r="J236" s="93"/>
      <c r="K236" s="85"/>
      <c r="L236" s="85"/>
      <c r="M236" s="85"/>
      <c r="N236" s="79"/>
      <c r="O236" s="79"/>
      <c r="P236" s="115"/>
      <c r="Z236" s="85"/>
      <c r="AA236" s="85"/>
    </row>
    <row r="237" spans="1:27" ht="14.25" x14ac:dyDescent="0.2">
      <c r="A237" s="122" t="s">
        <v>262</v>
      </c>
      <c r="B237" s="110"/>
      <c r="C237" s="91"/>
      <c r="D237" s="77"/>
      <c r="E237" s="77"/>
      <c r="F237" s="109"/>
      <c r="G237" s="93"/>
      <c r="H237" s="93"/>
      <c r="I237" s="93"/>
      <c r="J237" s="93"/>
      <c r="K237" s="85"/>
      <c r="L237" s="85"/>
      <c r="M237" s="85"/>
      <c r="N237" s="79"/>
      <c r="O237" s="79"/>
      <c r="P237" s="115"/>
      <c r="Z237" s="85"/>
      <c r="AA237" s="85"/>
    </row>
    <row r="238" spans="1:27" ht="15.75" x14ac:dyDescent="0.3">
      <c r="A238" s="85" t="s">
        <v>263</v>
      </c>
      <c r="B238" s="110">
        <v>147.256</v>
      </c>
      <c r="C238" s="91">
        <v>91.350999999999999</v>
      </c>
      <c r="D238" s="77">
        <v>137.0265</v>
      </c>
      <c r="E238" s="77">
        <v>906.82500000000005</v>
      </c>
      <c r="F238" s="109">
        <f t="shared" ref="F238:F258" si="56">(B238-D238)*1000/E238</f>
        <v>11.280566812780858</v>
      </c>
      <c r="G238" s="93">
        <f t="shared" ref="G238:G258" si="57">MIN($B238,(75*$E238/1000)+$D238)</f>
        <v>147.256</v>
      </c>
      <c r="H238" s="93">
        <f t="shared" ref="H238:H258" si="58">MIN($B238,(150*$E238/1000)+$D238)</f>
        <v>147.256</v>
      </c>
      <c r="I238" s="93">
        <f t="shared" ref="I238:I258" si="59">MIN($B238,(225*$E238/1000)+$D238)</f>
        <v>147.256</v>
      </c>
      <c r="J238" s="93">
        <f t="shared" ref="J238:J258" si="60">MIN($B238,(300*$E238/1000)+$D238)</f>
        <v>147.256</v>
      </c>
      <c r="K238" s="85">
        <v>147.256</v>
      </c>
      <c r="L238" s="85" t="s">
        <v>71</v>
      </c>
      <c r="M238" s="85"/>
      <c r="N238" s="79" t="str">
        <f t="shared" si="53"/>
        <v>Nee</v>
      </c>
      <c r="O238" s="79">
        <f t="shared" si="54"/>
        <v>300</v>
      </c>
      <c r="P238" s="115">
        <f t="shared" si="55"/>
        <v>11.281000000000001</v>
      </c>
      <c r="Z238" s="85" t="str">
        <f>""</f>
        <v/>
      </c>
      <c r="AA238" s="85">
        <v>15</v>
      </c>
    </row>
    <row r="239" spans="1:27" ht="15.75" x14ac:dyDescent="0.3">
      <c r="A239" s="85" t="s">
        <v>264</v>
      </c>
      <c r="B239" s="110">
        <v>150.60480000000001</v>
      </c>
      <c r="C239" s="91">
        <v>91.350999999999999</v>
      </c>
      <c r="D239" s="77">
        <v>137.0265</v>
      </c>
      <c r="E239" s="77">
        <v>902.01499999999999</v>
      </c>
      <c r="F239" s="109">
        <f t="shared" si="56"/>
        <v>15.053297339844697</v>
      </c>
      <c r="G239" s="93">
        <f t="shared" si="57"/>
        <v>150.60480000000001</v>
      </c>
      <c r="H239" s="93">
        <f t="shared" si="58"/>
        <v>150.60480000000001</v>
      </c>
      <c r="I239" s="93">
        <f t="shared" si="59"/>
        <v>150.60480000000001</v>
      </c>
      <c r="J239" s="93">
        <f t="shared" si="60"/>
        <v>150.60480000000001</v>
      </c>
      <c r="K239" s="85">
        <v>150.60480000000001</v>
      </c>
      <c r="L239" s="85" t="s">
        <v>71</v>
      </c>
      <c r="M239" s="85"/>
      <c r="N239" s="79" t="str">
        <f t="shared" si="53"/>
        <v>Nee</v>
      </c>
      <c r="O239" s="79">
        <f t="shared" si="54"/>
        <v>300</v>
      </c>
      <c r="P239" s="115">
        <f t="shared" si="55"/>
        <v>15.053000000000001</v>
      </c>
      <c r="Z239" s="85" t="str">
        <f>""</f>
        <v/>
      </c>
      <c r="AA239" s="85">
        <v>15</v>
      </c>
    </row>
    <row r="240" spans="1:27" x14ac:dyDescent="0.2">
      <c r="A240" s="85" t="s">
        <v>395</v>
      </c>
      <c r="B240" s="110">
        <v>201.17789999999999</v>
      </c>
      <c r="C240" s="91">
        <v>91.350999999999999</v>
      </c>
      <c r="D240" s="77">
        <v>137.0265</v>
      </c>
      <c r="E240" s="77">
        <v>902.01499999999999</v>
      </c>
      <c r="F240" s="109">
        <f t="shared" si="56"/>
        <v>71.12010332422409</v>
      </c>
      <c r="G240" s="93">
        <f t="shared" si="57"/>
        <v>201.17789999999999</v>
      </c>
      <c r="H240" s="93">
        <f t="shared" si="58"/>
        <v>201.17789999999999</v>
      </c>
      <c r="I240" s="93">
        <f t="shared" si="59"/>
        <v>201.17789999999999</v>
      </c>
      <c r="J240" s="93">
        <f t="shared" si="60"/>
        <v>201.17789999999999</v>
      </c>
      <c r="K240" s="85">
        <v>201.17789999999999</v>
      </c>
      <c r="L240" s="85" t="s">
        <v>71</v>
      </c>
      <c r="M240" s="85"/>
      <c r="N240" s="79" t="str">
        <f t="shared" si="53"/>
        <v>Nee</v>
      </c>
      <c r="O240" s="79">
        <f t="shared" si="54"/>
        <v>300</v>
      </c>
      <c r="P240" s="115">
        <f t="shared" si="55"/>
        <v>71.12</v>
      </c>
      <c r="Z240" s="85"/>
      <c r="AA240" s="85">
        <v>15</v>
      </c>
    </row>
    <row r="241" spans="1:27" ht="15.75" x14ac:dyDescent="0.3">
      <c r="A241" s="85" t="s">
        <v>265</v>
      </c>
      <c r="B241" s="110">
        <v>179.3614</v>
      </c>
      <c r="C241" s="91">
        <v>91.350999999999999</v>
      </c>
      <c r="D241" s="77">
        <v>137.0265</v>
      </c>
      <c r="E241" s="77">
        <v>906.82500000000005</v>
      </c>
      <c r="F241" s="109">
        <f t="shared" si="56"/>
        <v>46.684751743721222</v>
      </c>
      <c r="G241" s="93">
        <f t="shared" si="57"/>
        <v>179.3614</v>
      </c>
      <c r="H241" s="93">
        <f t="shared" si="58"/>
        <v>179.3614</v>
      </c>
      <c r="I241" s="93">
        <f t="shared" si="59"/>
        <v>179.3614</v>
      </c>
      <c r="J241" s="93">
        <f t="shared" si="60"/>
        <v>179.3614</v>
      </c>
      <c r="K241" s="85">
        <v>179.3614</v>
      </c>
      <c r="L241" s="85" t="s">
        <v>71</v>
      </c>
      <c r="M241" s="85"/>
      <c r="N241" s="79" t="str">
        <f t="shared" si="53"/>
        <v>Nee</v>
      </c>
      <c r="O241" s="79">
        <f t="shared" si="54"/>
        <v>300</v>
      </c>
      <c r="P241" s="115">
        <f t="shared" si="55"/>
        <v>46.685000000000002</v>
      </c>
      <c r="Z241" s="85" t="str">
        <f>""</f>
        <v/>
      </c>
      <c r="AA241" s="85">
        <v>15</v>
      </c>
    </row>
    <row r="242" spans="1:27" ht="15.75" x14ac:dyDescent="0.3">
      <c r="A242" s="85" t="s">
        <v>266</v>
      </c>
      <c r="B242" s="110">
        <v>178.2373</v>
      </c>
      <c r="C242" s="91">
        <v>91.350999999999999</v>
      </c>
      <c r="D242" s="77">
        <v>137.0265</v>
      </c>
      <c r="E242" s="77">
        <v>902.01499999999999</v>
      </c>
      <c r="F242" s="109">
        <f t="shared" si="56"/>
        <v>45.687488567263294</v>
      </c>
      <c r="G242" s="93">
        <f t="shared" si="57"/>
        <v>178.2373</v>
      </c>
      <c r="H242" s="93">
        <f t="shared" si="58"/>
        <v>178.2373</v>
      </c>
      <c r="I242" s="93">
        <f t="shared" si="59"/>
        <v>178.2373</v>
      </c>
      <c r="J242" s="93">
        <f t="shared" si="60"/>
        <v>178.2373</v>
      </c>
      <c r="K242" s="85">
        <v>178.2373</v>
      </c>
      <c r="L242" s="85" t="s">
        <v>71</v>
      </c>
      <c r="M242" s="85"/>
      <c r="N242" s="79" t="str">
        <f t="shared" si="53"/>
        <v>Nee</v>
      </c>
      <c r="O242" s="79">
        <f t="shared" si="54"/>
        <v>300</v>
      </c>
      <c r="P242" s="115">
        <f t="shared" si="55"/>
        <v>45.686999999999998</v>
      </c>
      <c r="Z242" s="85" t="str">
        <f>""</f>
        <v/>
      </c>
      <c r="AA242" s="85">
        <v>15</v>
      </c>
    </row>
    <row r="243" spans="1:27" x14ac:dyDescent="0.2">
      <c r="A243" s="85" t="s">
        <v>396</v>
      </c>
      <c r="B243" s="110">
        <v>228.81039999999999</v>
      </c>
      <c r="C243" s="91">
        <v>91.350999999999999</v>
      </c>
      <c r="D243" s="77">
        <v>137.0265</v>
      </c>
      <c r="E243" s="77">
        <v>902.01499999999999</v>
      </c>
      <c r="F243" s="109">
        <f t="shared" si="56"/>
        <v>101.7542945516427</v>
      </c>
      <c r="G243" s="93">
        <f t="shared" si="57"/>
        <v>204.67762499999998</v>
      </c>
      <c r="H243" s="93">
        <f t="shared" si="58"/>
        <v>228.81039999999999</v>
      </c>
      <c r="I243" s="93">
        <f t="shared" si="59"/>
        <v>228.81039999999999</v>
      </c>
      <c r="J243" s="93">
        <f t="shared" si="60"/>
        <v>228.81039999999999</v>
      </c>
      <c r="K243" s="85">
        <v>228.81039999999999</v>
      </c>
      <c r="L243" s="85" t="s">
        <v>71</v>
      </c>
      <c r="M243" s="85"/>
      <c r="N243" s="79" t="str">
        <f t="shared" si="53"/>
        <v>Nee</v>
      </c>
      <c r="O243" s="79">
        <f t="shared" si="54"/>
        <v>300</v>
      </c>
      <c r="P243" s="115">
        <f t="shared" si="55"/>
        <v>101.754</v>
      </c>
      <c r="Z243" s="85"/>
      <c r="AA243" s="85">
        <v>15</v>
      </c>
    </row>
    <row r="244" spans="1:27" ht="15.75" x14ac:dyDescent="0.3">
      <c r="A244" s="85" t="s">
        <v>267</v>
      </c>
      <c r="B244" s="110">
        <v>151.5119</v>
      </c>
      <c r="C244" s="91">
        <v>91.350999999999999</v>
      </c>
      <c r="D244" s="77">
        <v>137.0265</v>
      </c>
      <c r="E244" s="77">
        <v>912.9</v>
      </c>
      <c r="F244" s="109">
        <f t="shared" si="56"/>
        <v>15.867455362033079</v>
      </c>
      <c r="G244" s="93">
        <f t="shared" si="57"/>
        <v>151.5119</v>
      </c>
      <c r="H244" s="93">
        <f t="shared" si="58"/>
        <v>151.5119</v>
      </c>
      <c r="I244" s="93">
        <f t="shared" si="59"/>
        <v>151.5119</v>
      </c>
      <c r="J244" s="93">
        <f t="shared" si="60"/>
        <v>151.5119</v>
      </c>
      <c r="K244" s="85">
        <v>151.5119</v>
      </c>
      <c r="L244" s="85" t="s">
        <v>71</v>
      </c>
      <c r="M244" s="85"/>
      <c r="N244" s="79" t="str">
        <f t="shared" si="53"/>
        <v>Nee</v>
      </c>
      <c r="O244" s="79">
        <f t="shared" si="54"/>
        <v>300</v>
      </c>
      <c r="P244" s="115">
        <f t="shared" si="55"/>
        <v>15.867000000000001</v>
      </c>
      <c r="Z244" s="85" t="str">
        <f>""</f>
        <v/>
      </c>
      <c r="AA244" s="85">
        <v>15</v>
      </c>
    </row>
    <row r="245" spans="1:27" ht="15.75" x14ac:dyDescent="0.3">
      <c r="A245" s="85" t="s">
        <v>268</v>
      </c>
      <c r="B245" s="110">
        <v>155.80500000000001</v>
      </c>
      <c r="C245" s="91">
        <v>91.350999999999999</v>
      </c>
      <c r="D245" s="77">
        <v>137.0265</v>
      </c>
      <c r="E245" s="77">
        <v>908.09</v>
      </c>
      <c r="F245" s="109">
        <f t="shared" si="56"/>
        <v>20.679117708597172</v>
      </c>
      <c r="G245" s="93">
        <f t="shared" si="57"/>
        <v>155.80500000000001</v>
      </c>
      <c r="H245" s="93">
        <f t="shared" si="58"/>
        <v>155.80500000000001</v>
      </c>
      <c r="I245" s="93">
        <f t="shared" si="59"/>
        <v>155.80500000000001</v>
      </c>
      <c r="J245" s="93">
        <f t="shared" si="60"/>
        <v>155.80500000000001</v>
      </c>
      <c r="K245" s="85">
        <v>155.80500000000001</v>
      </c>
      <c r="L245" s="85" t="s">
        <v>71</v>
      </c>
      <c r="M245" s="85"/>
      <c r="N245" s="79" t="str">
        <f t="shared" si="53"/>
        <v>Nee</v>
      </c>
      <c r="O245" s="79">
        <f t="shared" si="54"/>
        <v>300</v>
      </c>
      <c r="P245" s="115">
        <f t="shared" si="55"/>
        <v>20.678999999999998</v>
      </c>
      <c r="Z245" s="85" t="str">
        <f>""</f>
        <v/>
      </c>
      <c r="AA245" s="85">
        <v>15</v>
      </c>
    </row>
    <row r="246" spans="1:27" x14ac:dyDescent="0.2">
      <c r="A246" s="85" t="s">
        <v>397</v>
      </c>
      <c r="B246" s="110">
        <v>206.37809999999999</v>
      </c>
      <c r="C246" s="91">
        <v>91.350999999999999</v>
      </c>
      <c r="D246" s="77">
        <v>137.0265</v>
      </c>
      <c r="E246" s="77">
        <v>908.09</v>
      </c>
      <c r="F246" s="109">
        <f t="shared" si="56"/>
        <v>76.370844299573818</v>
      </c>
      <c r="G246" s="93">
        <f t="shared" si="57"/>
        <v>205.13325</v>
      </c>
      <c r="H246" s="93">
        <f t="shared" si="58"/>
        <v>206.37809999999999</v>
      </c>
      <c r="I246" s="93">
        <f t="shared" si="59"/>
        <v>206.37809999999999</v>
      </c>
      <c r="J246" s="93">
        <f t="shared" si="60"/>
        <v>206.37809999999999</v>
      </c>
      <c r="K246" s="85">
        <v>206.37809999999999</v>
      </c>
      <c r="L246" s="85" t="s">
        <v>71</v>
      </c>
      <c r="M246" s="85"/>
      <c r="N246" s="79" t="str">
        <f t="shared" si="53"/>
        <v>Nee</v>
      </c>
      <c r="O246" s="79">
        <f t="shared" si="54"/>
        <v>300</v>
      </c>
      <c r="P246" s="115">
        <f t="shared" si="55"/>
        <v>76.370999999999995</v>
      </c>
      <c r="Z246" s="85"/>
      <c r="AA246" s="85">
        <v>15</v>
      </c>
    </row>
    <row r="247" spans="1:27" ht="15.75" x14ac:dyDescent="0.3">
      <c r="A247" s="85" t="s">
        <v>269</v>
      </c>
      <c r="B247" s="110">
        <v>335.03149999999999</v>
      </c>
      <c r="C247" s="91">
        <v>91.350999999999999</v>
      </c>
      <c r="D247" s="77">
        <v>137.0265</v>
      </c>
      <c r="E247" s="77">
        <v>996.56</v>
      </c>
      <c r="F247" s="109">
        <f t="shared" si="56"/>
        <v>198.68848840009633</v>
      </c>
      <c r="G247" s="93">
        <f t="shared" si="57"/>
        <v>211.76850000000002</v>
      </c>
      <c r="H247" s="93">
        <f t="shared" si="58"/>
        <v>286.51049999999998</v>
      </c>
      <c r="I247" s="93">
        <f t="shared" si="59"/>
        <v>335.03149999999999</v>
      </c>
      <c r="J247" s="93">
        <f t="shared" si="60"/>
        <v>335.03149999999999</v>
      </c>
      <c r="K247" s="85">
        <v>335.03149999999999</v>
      </c>
      <c r="L247" s="85" t="s">
        <v>71</v>
      </c>
      <c r="M247" s="85"/>
      <c r="N247" s="79" t="str">
        <f t="shared" si="53"/>
        <v>Nee</v>
      </c>
      <c r="O247" s="79">
        <f t="shared" si="54"/>
        <v>300</v>
      </c>
      <c r="P247" s="115">
        <f t="shared" si="55"/>
        <v>198.68799999999999</v>
      </c>
      <c r="Z247" s="85" t="str">
        <f>""</f>
        <v/>
      </c>
      <c r="AA247" s="85">
        <v>15</v>
      </c>
    </row>
    <row r="248" spans="1:27" ht="15.75" x14ac:dyDescent="0.3">
      <c r="A248" s="85" t="s">
        <v>270</v>
      </c>
      <c r="B248" s="110">
        <v>346.50810000000001</v>
      </c>
      <c r="C248" s="91">
        <v>91.350999999999999</v>
      </c>
      <c r="D248" s="77">
        <v>137.0265</v>
      </c>
      <c r="E248" s="77">
        <v>991.75</v>
      </c>
      <c r="F248" s="109">
        <f t="shared" si="56"/>
        <v>211.22419964708848</v>
      </c>
      <c r="G248" s="93">
        <f t="shared" si="57"/>
        <v>211.40774999999999</v>
      </c>
      <c r="H248" s="93">
        <f t="shared" si="58"/>
        <v>285.78899999999999</v>
      </c>
      <c r="I248" s="93">
        <f t="shared" si="59"/>
        <v>346.50810000000001</v>
      </c>
      <c r="J248" s="93">
        <f t="shared" si="60"/>
        <v>346.50810000000001</v>
      </c>
      <c r="K248" s="85">
        <v>346.50810000000001</v>
      </c>
      <c r="L248" s="85" t="s">
        <v>71</v>
      </c>
      <c r="M248" s="85"/>
      <c r="N248" s="79" t="str">
        <f t="shared" si="53"/>
        <v>Nee</v>
      </c>
      <c r="O248" s="79">
        <f t="shared" si="54"/>
        <v>300</v>
      </c>
      <c r="P248" s="115">
        <f t="shared" si="55"/>
        <v>211.22399999999999</v>
      </c>
      <c r="Z248" s="85" t="str">
        <f>""</f>
        <v/>
      </c>
      <c r="AA248" s="85">
        <v>15</v>
      </c>
    </row>
    <row r="249" spans="1:27" x14ac:dyDescent="0.2">
      <c r="A249" s="85" t="s">
        <v>398</v>
      </c>
      <c r="B249" s="110">
        <v>397.08120000000002</v>
      </c>
      <c r="C249" s="91">
        <v>91.350999999999999</v>
      </c>
      <c r="D249" s="77">
        <v>137.0265</v>
      </c>
      <c r="E249" s="77">
        <v>991.75</v>
      </c>
      <c r="F249" s="109">
        <f t="shared" si="56"/>
        <v>262.2179984875221</v>
      </c>
      <c r="G249" s="93">
        <f t="shared" si="57"/>
        <v>211.40774999999999</v>
      </c>
      <c r="H249" s="93">
        <f t="shared" si="58"/>
        <v>285.78899999999999</v>
      </c>
      <c r="I249" s="93">
        <f t="shared" si="59"/>
        <v>360.17025000000001</v>
      </c>
      <c r="J249" s="93">
        <f t="shared" si="60"/>
        <v>397.08120000000002</v>
      </c>
      <c r="K249" s="85">
        <v>397.08120000000002</v>
      </c>
      <c r="L249" s="85" t="s">
        <v>71</v>
      </c>
      <c r="M249" s="85"/>
      <c r="N249" s="79" t="str">
        <f t="shared" si="53"/>
        <v>Nee</v>
      </c>
      <c r="O249" s="79">
        <f t="shared" si="54"/>
        <v>300</v>
      </c>
      <c r="P249" s="115">
        <f t="shared" si="55"/>
        <v>262.21800000000002</v>
      </c>
      <c r="Z249" s="85"/>
      <c r="AA249" s="85">
        <v>15</v>
      </c>
    </row>
    <row r="250" spans="1:27" x14ac:dyDescent="0.2">
      <c r="A250" s="85" t="s">
        <v>271</v>
      </c>
      <c r="B250" s="110">
        <v>294.05990000000003</v>
      </c>
      <c r="C250" s="91">
        <v>91.350999999999999</v>
      </c>
      <c r="D250" s="77">
        <v>137.0265</v>
      </c>
      <c r="E250" s="77">
        <v>977.25</v>
      </c>
      <c r="F250" s="109">
        <f t="shared" si="56"/>
        <v>160.68907649015097</v>
      </c>
      <c r="G250" s="93">
        <f t="shared" si="57"/>
        <v>210.32024999999999</v>
      </c>
      <c r="H250" s="93">
        <f t="shared" si="58"/>
        <v>283.61400000000003</v>
      </c>
      <c r="I250" s="93">
        <f t="shared" si="59"/>
        <v>294.05990000000003</v>
      </c>
      <c r="J250" s="93">
        <f t="shared" si="60"/>
        <v>294.05990000000003</v>
      </c>
      <c r="K250" s="85">
        <v>294.05990000000003</v>
      </c>
      <c r="L250" s="85" t="s">
        <v>71</v>
      </c>
      <c r="M250" s="85"/>
      <c r="N250" s="79" t="str">
        <f t="shared" si="53"/>
        <v>Nee</v>
      </c>
      <c r="O250" s="79">
        <f t="shared" si="54"/>
        <v>300</v>
      </c>
      <c r="P250" s="115">
        <f t="shared" si="55"/>
        <v>160.68899999999999</v>
      </c>
      <c r="Z250" s="85"/>
      <c r="AA250" s="85">
        <v>15</v>
      </c>
    </row>
    <row r="251" spans="1:27" x14ac:dyDescent="0.2">
      <c r="A251" s="85" t="s">
        <v>272</v>
      </c>
      <c r="B251" s="110">
        <v>305.42649999999998</v>
      </c>
      <c r="C251" s="91">
        <v>91.350999999999999</v>
      </c>
      <c r="D251" s="77">
        <v>137.0265</v>
      </c>
      <c r="E251" s="77">
        <v>972.44</v>
      </c>
      <c r="F251" s="109">
        <f t="shared" si="56"/>
        <v>173.1726379005388</v>
      </c>
      <c r="G251" s="93">
        <f t="shared" si="57"/>
        <v>209.95949999999999</v>
      </c>
      <c r="H251" s="93">
        <f t="shared" si="58"/>
        <v>282.89250000000004</v>
      </c>
      <c r="I251" s="93">
        <f t="shared" si="59"/>
        <v>305.42649999999998</v>
      </c>
      <c r="J251" s="93">
        <f t="shared" si="60"/>
        <v>305.42649999999998</v>
      </c>
      <c r="K251" s="85">
        <v>305.42649999999998</v>
      </c>
      <c r="L251" s="85" t="s">
        <v>71</v>
      </c>
      <c r="M251" s="85"/>
      <c r="N251" s="79" t="str">
        <f t="shared" si="53"/>
        <v>Nee</v>
      </c>
      <c r="O251" s="79">
        <f t="shared" si="54"/>
        <v>300</v>
      </c>
      <c r="P251" s="115">
        <f t="shared" si="55"/>
        <v>173.173</v>
      </c>
      <c r="Z251" s="85"/>
      <c r="AA251" s="85">
        <v>15</v>
      </c>
    </row>
    <row r="252" spans="1:27" x14ac:dyDescent="0.2">
      <c r="A252" s="85" t="s">
        <v>399</v>
      </c>
      <c r="B252" s="110">
        <v>355.99959999999999</v>
      </c>
      <c r="C252" s="91">
        <v>91.350999999999999</v>
      </c>
      <c r="D252" s="77">
        <v>137.0265</v>
      </c>
      <c r="E252" s="77">
        <v>972.44</v>
      </c>
      <c r="F252" s="109">
        <f t="shared" si="56"/>
        <v>225.17903418205748</v>
      </c>
      <c r="G252" s="93">
        <f t="shared" si="57"/>
        <v>209.95949999999999</v>
      </c>
      <c r="H252" s="93">
        <f t="shared" si="58"/>
        <v>282.89250000000004</v>
      </c>
      <c r="I252" s="93">
        <f t="shared" si="59"/>
        <v>355.82550000000003</v>
      </c>
      <c r="J252" s="93">
        <f t="shared" si="60"/>
        <v>355.99959999999999</v>
      </c>
      <c r="K252" s="85">
        <v>355.99959999999999</v>
      </c>
      <c r="L252" s="85" t="s">
        <v>71</v>
      </c>
      <c r="M252" s="85"/>
      <c r="N252" s="79" t="str">
        <f t="shared" si="53"/>
        <v>Nee</v>
      </c>
      <c r="O252" s="79">
        <f t="shared" si="54"/>
        <v>300</v>
      </c>
      <c r="P252" s="115">
        <f t="shared" si="55"/>
        <v>225.179</v>
      </c>
      <c r="Z252" s="85"/>
      <c r="AA252" s="85">
        <v>15</v>
      </c>
    </row>
    <row r="253" spans="1:27" ht="15.75" x14ac:dyDescent="0.3">
      <c r="A253" s="85" t="s">
        <v>273</v>
      </c>
      <c r="B253" s="110">
        <v>227.84360000000001</v>
      </c>
      <c r="C253" s="91">
        <v>91.350999999999999</v>
      </c>
      <c r="D253" s="77">
        <v>137.0265</v>
      </c>
      <c r="E253" s="77">
        <v>825.2</v>
      </c>
      <c r="F253" s="109">
        <f t="shared" si="56"/>
        <v>110.05465341735336</v>
      </c>
      <c r="G253" s="93">
        <f t="shared" si="57"/>
        <v>198.91649999999998</v>
      </c>
      <c r="H253" s="93">
        <f t="shared" si="58"/>
        <v>227.84360000000001</v>
      </c>
      <c r="I253" s="93">
        <f t="shared" si="59"/>
        <v>227.84360000000001</v>
      </c>
      <c r="J253" s="93">
        <f t="shared" si="60"/>
        <v>227.84360000000001</v>
      </c>
      <c r="K253" s="85">
        <v>227.84360000000001</v>
      </c>
      <c r="L253" s="85" t="s">
        <v>71</v>
      </c>
      <c r="M253" s="85"/>
      <c r="N253" s="79" t="str">
        <f t="shared" si="53"/>
        <v>Nee</v>
      </c>
      <c r="O253" s="79">
        <f t="shared" si="54"/>
        <v>300</v>
      </c>
      <c r="P253" s="115">
        <f t="shared" si="55"/>
        <v>110.05500000000001</v>
      </c>
      <c r="Z253" s="85" t="str">
        <f>""</f>
        <v/>
      </c>
      <c r="AA253" s="85">
        <v>15</v>
      </c>
    </row>
    <row r="254" spans="1:27" ht="15.75" x14ac:dyDescent="0.3">
      <c r="A254" s="85" t="s">
        <v>274</v>
      </c>
      <c r="B254" s="110">
        <v>223.93049999999999</v>
      </c>
      <c r="C254" s="91">
        <v>91.350999999999999</v>
      </c>
      <c r="D254" s="77">
        <v>137.0265</v>
      </c>
      <c r="E254" s="77">
        <v>821.69</v>
      </c>
      <c r="F254" s="109">
        <f t="shared" si="56"/>
        <v>105.76251384342027</v>
      </c>
      <c r="G254" s="93">
        <f t="shared" si="57"/>
        <v>198.65325000000001</v>
      </c>
      <c r="H254" s="93">
        <f t="shared" si="58"/>
        <v>223.93049999999999</v>
      </c>
      <c r="I254" s="93">
        <f t="shared" si="59"/>
        <v>223.93049999999999</v>
      </c>
      <c r="J254" s="93">
        <f t="shared" si="60"/>
        <v>223.93049999999999</v>
      </c>
      <c r="K254" s="85">
        <v>223.93049999999999</v>
      </c>
      <c r="L254" s="85" t="s">
        <v>71</v>
      </c>
      <c r="M254" s="85"/>
      <c r="N254" s="79" t="str">
        <f t="shared" si="53"/>
        <v>Nee</v>
      </c>
      <c r="O254" s="79">
        <f t="shared" si="54"/>
        <v>300</v>
      </c>
      <c r="P254" s="115">
        <f t="shared" si="55"/>
        <v>105.76300000000001</v>
      </c>
      <c r="Z254" s="85" t="str">
        <f>""</f>
        <v/>
      </c>
      <c r="AA254" s="85">
        <v>15</v>
      </c>
    </row>
    <row r="255" spans="1:27" x14ac:dyDescent="0.2">
      <c r="A255" s="85" t="s">
        <v>400</v>
      </c>
      <c r="B255" s="110">
        <v>274.50360000000001</v>
      </c>
      <c r="C255" s="91">
        <v>91.350999999999999</v>
      </c>
      <c r="D255" s="77">
        <v>137.0265</v>
      </c>
      <c r="E255" s="77">
        <v>821.69</v>
      </c>
      <c r="F255" s="109">
        <f t="shared" si="56"/>
        <v>167.31017780428141</v>
      </c>
      <c r="G255" s="93">
        <f t="shared" si="57"/>
        <v>198.65325000000001</v>
      </c>
      <c r="H255" s="93">
        <f t="shared" si="58"/>
        <v>260.28000000000003</v>
      </c>
      <c r="I255" s="93">
        <f t="shared" si="59"/>
        <v>274.50360000000001</v>
      </c>
      <c r="J255" s="93">
        <f t="shared" si="60"/>
        <v>274.50360000000001</v>
      </c>
      <c r="K255" s="85">
        <v>274.50360000000001</v>
      </c>
      <c r="L255" s="85" t="s">
        <v>71</v>
      </c>
      <c r="M255" s="85"/>
      <c r="N255" s="79" t="str">
        <f t="shared" si="53"/>
        <v>Nee</v>
      </c>
      <c r="O255" s="79">
        <f t="shared" si="54"/>
        <v>300</v>
      </c>
      <c r="P255" s="115">
        <f t="shared" si="55"/>
        <v>167.31</v>
      </c>
      <c r="Z255" s="85"/>
      <c r="AA255" s="85">
        <v>15</v>
      </c>
    </row>
    <row r="256" spans="1:27" ht="15.75" x14ac:dyDescent="0.3">
      <c r="A256" s="85" t="s">
        <v>275</v>
      </c>
      <c r="B256" s="110">
        <v>206.22239999999999</v>
      </c>
      <c r="C256" s="91">
        <v>91.350999999999999</v>
      </c>
      <c r="D256" s="77">
        <v>137.0265</v>
      </c>
      <c r="E256" s="77">
        <v>840.95</v>
      </c>
      <c r="F256" s="109">
        <f t="shared" si="56"/>
        <v>82.283013258814421</v>
      </c>
      <c r="G256" s="93">
        <f t="shared" si="57"/>
        <v>200.09774999999999</v>
      </c>
      <c r="H256" s="93">
        <f t="shared" si="58"/>
        <v>206.22239999999999</v>
      </c>
      <c r="I256" s="93">
        <f t="shared" si="59"/>
        <v>206.22239999999999</v>
      </c>
      <c r="J256" s="93">
        <f t="shared" si="60"/>
        <v>206.22239999999999</v>
      </c>
      <c r="K256" s="85">
        <v>206.22239999999999</v>
      </c>
      <c r="L256" s="85" t="s">
        <v>71</v>
      </c>
      <c r="M256" s="85"/>
      <c r="N256" s="79" t="str">
        <f t="shared" si="53"/>
        <v>Nee</v>
      </c>
      <c r="O256" s="79">
        <f t="shared" si="54"/>
        <v>300</v>
      </c>
      <c r="P256" s="115">
        <f t="shared" si="55"/>
        <v>82.283000000000001</v>
      </c>
      <c r="Z256" s="85" t="str">
        <f>""</f>
        <v/>
      </c>
      <c r="AA256" s="85">
        <v>15</v>
      </c>
    </row>
    <row r="257" spans="1:27" ht="15.75" x14ac:dyDescent="0.3">
      <c r="A257" s="85" t="s">
        <v>276</v>
      </c>
      <c r="B257" s="110">
        <v>197.517</v>
      </c>
      <c r="C257" s="91">
        <v>91.350999999999999</v>
      </c>
      <c r="D257" s="77">
        <v>137.0265</v>
      </c>
      <c r="E257" s="77">
        <v>837.44</v>
      </c>
      <c r="F257" s="109">
        <f t="shared" si="56"/>
        <v>72.232637562093998</v>
      </c>
      <c r="G257" s="93">
        <f t="shared" si="57"/>
        <v>197.517</v>
      </c>
      <c r="H257" s="93">
        <f t="shared" si="58"/>
        <v>197.517</v>
      </c>
      <c r="I257" s="93">
        <f t="shared" si="59"/>
        <v>197.517</v>
      </c>
      <c r="J257" s="93">
        <f t="shared" si="60"/>
        <v>197.517</v>
      </c>
      <c r="K257" s="85">
        <v>197.517</v>
      </c>
      <c r="L257" s="85" t="s">
        <v>71</v>
      </c>
      <c r="M257" s="85"/>
      <c r="N257" s="79" t="str">
        <f t="shared" si="53"/>
        <v>Nee</v>
      </c>
      <c r="O257" s="79">
        <f t="shared" si="54"/>
        <v>300</v>
      </c>
      <c r="P257" s="115">
        <f t="shared" si="55"/>
        <v>72.233000000000004</v>
      </c>
      <c r="Z257" s="85" t="str">
        <f>""</f>
        <v/>
      </c>
      <c r="AA257" s="85">
        <v>15</v>
      </c>
    </row>
    <row r="258" spans="1:27" x14ac:dyDescent="0.2">
      <c r="A258" s="85" t="s">
        <v>401</v>
      </c>
      <c r="B258" s="110">
        <v>248.09010000000001</v>
      </c>
      <c r="C258" s="91">
        <v>91.350999999999999</v>
      </c>
      <c r="D258" s="77">
        <v>137.0265</v>
      </c>
      <c r="E258" s="77">
        <v>837.44</v>
      </c>
      <c r="F258" s="109">
        <f t="shared" si="56"/>
        <v>132.62275506304928</v>
      </c>
      <c r="G258" s="93">
        <f t="shared" si="57"/>
        <v>199.83449999999999</v>
      </c>
      <c r="H258" s="93">
        <f t="shared" si="58"/>
        <v>248.09010000000001</v>
      </c>
      <c r="I258" s="93">
        <f t="shared" si="59"/>
        <v>248.09010000000001</v>
      </c>
      <c r="J258" s="93">
        <f t="shared" si="60"/>
        <v>248.09010000000001</v>
      </c>
      <c r="K258" s="85">
        <v>248.09010000000001</v>
      </c>
      <c r="L258" s="85" t="s">
        <v>71</v>
      </c>
      <c r="M258" s="85"/>
      <c r="N258" s="79" t="str">
        <f t="shared" si="53"/>
        <v>Nee</v>
      </c>
      <c r="O258" s="79">
        <f t="shared" si="54"/>
        <v>300</v>
      </c>
      <c r="P258" s="115">
        <f t="shared" si="55"/>
        <v>132.62299999999999</v>
      </c>
      <c r="Z258" s="85"/>
      <c r="AA258" s="85">
        <v>15</v>
      </c>
    </row>
    <row r="259" spans="1:27" x14ac:dyDescent="0.2">
      <c r="A259" s="85"/>
      <c r="B259" s="110"/>
      <c r="C259" s="91"/>
      <c r="D259" s="77"/>
      <c r="E259" s="77"/>
      <c r="F259" s="109"/>
      <c r="G259" s="93"/>
      <c r="H259" s="93"/>
      <c r="I259" s="93"/>
      <c r="J259" s="93"/>
      <c r="K259" s="85"/>
      <c r="L259" s="85"/>
      <c r="M259" s="85"/>
      <c r="N259" s="79"/>
      <c r="O259" s="79"/>
      <c r="P259" s="115"/>
      <c r="Z259" s="85"/>
      <c r="AA259" s="85"/>
    </row>
    <row r="260" spans="1:27" ht="14.25" x14ac:dyDescent="0.2">
      <c r="A260" s="122" t="s">
        <v>277</v>
      </c>
      <c r="B260" s="110"/>
      <c r="C260" s="91"/>
      <c r="D260" s="77"/>
      <c r="E260" s="77"/>
      <c r="F260" s="109"/>
      <c r="G260" s="93"/>
      <c r="H260" s="93"/>
      <c r="I260" s="93"/>
      <c r="J260" s="93"/>
      <c r="K260" s="85"/>
      <c r="L260" s="85"/>
      <c r="M260" s="85"/>
      <c r="N260" s="79"/>
      <c r="O260" s="79"/>
      <c r="P260" s="115"/>
      <c r="Z260" s="85"/>
      <c r="AA260" s="85"/>
    </row>
    <row r="261" spans="1:27" ht="15.75" x14ac:dyDescent="0.3">
      <c r="A261" s="85" t="s">
        <v>278</v>
      </c>
      <c r="B261" s="110">
        <v>282.9162</v>
      </c>
      <c r="C261" s="91">
        <v>0</v>
      </c>
      <c r="D261" s="77">
        <v>0</v>
      </c>
      <c r="E261" s="77">
        <v>943.05399999999997</v>
      </c>
      <c r="F261" s="109">
        <f>(B261-D261)*1000/E261</f>
        <v>300</v>
      </c>
      <c r="G261" s="93">
        <f>MIN($B261,(75*$E261/1000)+$D261)</f>
        <v>70.729050000000001</v>
      </c>
      <c r="H261" s="93">
        <f>MIN($B261,(150*$E261/1000)+$D261)</f>
        <v>141.4581</v>
      </c>
      <c r="I261" s="93">
        <f>MIN($B261,(225*$E261/1000)+$D261)</f>
        <v>212.18715</v>
      </c>
      <c r="J261" s="93">
        <f>MIN($B261,(300*$E261/1000)+$D261)</f>
        <v>282.9162</v>
      </c>
      <c r="K261" s="85">
        <v>282.9162</v>
      </c>
      <c r="L261" s="85" t="s">
        <v>71</v>
      </c>
      <c r="M261" s="85"/>
      <c r="N261" s="79" t="str">
        <f t="shared" si="53"/>
        <v>Nee</v>
      </c>
      <c r="O261" s="79">
        <f t="shared" si="54"/>
        <v>300</v>
      </c>
      <c r="P261" s="115">
        <f t="shared" si="55"/>
        <v>300</v>
      </c>
      <c r="Z261" s="85" t="str">
        <f>""</f>
        <v/>
      </c>
      <c r="AA261" s="85">
        <v>15</v>
      </c>
    </row>
    <row r="262" spans="1:27" ht="15.75" x14ac:dyDescent="0.3">
      <c r="A262" s="85" t="s">
        <v>279</v>
      </c>
      <c r="B262" s="110">
        <v>279.55110000000002</v>
      </c>
      <c r="C262" s="91">
        <v>0</v>
      </c>
      <c r="D262" s="77">
        <v>0</v>
      </c>
      <c r="E262" s="77">
        <v>939.54399999999998</v>
      </c>
      <c r="F262" s="109">
        <f>(B262-D262)*1000/E262</f>
        <v>297.53912536294206</v>
      </c>
      <c r="G262" s="93">
        <f>MIN($B262,(75*$E262/1000)+$D262)</f>
        <v>70.465800000000002</v>
      </c>
      <c r="H262" s="93">
        <f>MIN($B262,(150*$E262/1000)+$D262)</f>
        <v>140.9316</v>
      </c>
      <c r="I262" s="93">
        <f>MIN($B262,(225*$E262/1000)+$D262)</f>
        <v>211.3974</v>
      </c>
      <c r="J262" s="93">
        <f>MIN($B262,(300*$E262/1000)+$D262)</f>
        <v>279.55110000000002</v>
      </c>
      <c r="K262" s="85">
        <v>279.55110000000002</v>
      </c>
      <c r="L262" s="85" t="s">
        <v>71</v>
      </c>
      <c r="M262" s="85"/>
      <c r="N262" s="79" t="str">
        <f t="shared" si="53"/>
        <v>Nee</v>
      </c>
      <c r="O262" s="79">
        <f t="shared" si="54"/>
        <v>300</v>
      </c>
      <c r="P262" s="115">
        <f t="shared" si="55"/>
        <v>297.53899999999999</v>
      </c>
      <c r="Z262" s="85" t="str">
        <f>""</f>
        <v/>
      </c>
      <c r="AA262" s="85">
        <v>15</v>
      </c>
    </row>
    <row r="263" spans="1:27" ht="15.75" x14ac:dyDescent="0.3">
      <c r="A263" s="85" t="s">
        <v>280</v>
      </c>
      <c r="B263" s="110">
        <v>220.1705</v>
      </c>
      <c r="C263" s="91">
        <v>0</v>
      </c>
      <c r="D263" s="77">
        <v>0</v>
      </c>
      <c r="E263" s="77">
        <v>939.54399999999998</v>
      </c>
      <c r="F263" s="109">
        <f>(B263-D263)*1000/E263</f>
        <v>234.3376148429451</v>
      </c>
      <c r="G263" s="93">
        <f>MIN($B263,(75*$E263/1000)+$D263)</f>
        <v>70.465800000000002</v>
      </c>
      <c r="H263" s="93">
        <f>MIN($B263,(150*$E263/1000)+$D263)</f>
        <v>140.9316</v>
      </c>
      <c r="I263" s="93">
        <f>MIN($B263,(225*$E263/1000)+$D263)</f>
        <v>211.3974</v>
      </c>
      <c r="J263" s="93">
        <f>MIN($B263,(300*$E263/1000)+$D263)</f>
        <v>220.1705</v>
      </c>
      <c r="K263" s="85">
        <v>220.1705</v>
      </c>
      <c r="L263" s="85" t="s">
        <v>71</v>
      </c>
      <c r="M263" s="85"/>
      <c r="N263" s="79" t="str">
        <f t="shared" si="53"/>
        <v>Nee</v>
      </c>
      <c r="O263" s="79">
        <f t="shared" si="54"/>
        <v>300</v>
      </c>
      <c r="P263" s="115">
        <f t="shared" si="55"/>
        <v>234.33799999999999</v>
      </c>
      <c r="Z263" s="85" t="str">
        <f>""</f>
        <v/>
      </c>
      <c r="AA263" s="85">
        <v>15</v>
      </c>
    </row>
    <row r="264" spans="1:27" x14ac:dyDescent="0.2">
      <c r="A264" s="85" t="s">
        <v>402</v>
      </c>
      <c r="B264" s="110">
        <v>281.86320000000001</v>
      </c>
      <c r="C264" s="91">
        <v>0</v>
      </c>
      <c r="D264" s="77">
        <v>0</v>
      </c>
      <c r="E264" s="77">
        <v>939.54399999999998</v>
      </c>
      <c r="F264" s="109">
        <f>(B264-D264)*1000/E264</f>
        <v>300</v>
      </c>
      <c r="G264" s="93">
        <f>MIN($B264,(75*$E264/1000)+$D264)</f>
        <v>70.465800000000002</v>
      </c>
      <c r="H264" s="93">
        <f>MIN($B264,(150*$E264/1000)+$D264)</f>
        <v>140.9316</v>
      </c>
      <c r="I264" s="93">
        <f>MIN($B264,(225*$E264/1000)+$D264)</f>
        <v>211.3974</v>
      </c>
      <c r="J264" s="93">
        <f>MIN($B264,(300*$E264/1000)+$D264)</f>
        <v>281.86320000000001</v>
      </c>
      <c r="K264" s="85">
        <v>281.86320000000001</v>
      </c>
      <c r="L264" s="85" t="s">
        <v>71</v>
      </c>
      <c r="M264" s="85"/>
      <c r="N264" s="79" t="str">
        <f t="shared" si="53"/>
        <v>Nee</v>
      </c>
      <c r="O264" s="79">
        <f t="shared" si="54"/>
        <v>300</v>
      </c>
      <c r="P264" s="115">
        <f t="shared" si="55"/>
        <v>300</v>
      </c>
      <c r="Z264" s="85"/>
      <c r="AA264" s="85">
        <v>15</v>
      </c>
    </row>
    <row r="265" spans="1:27" x14ac:dyDescent="0.2">
      <c r="A265" s="85" t="s">
        <v>403</v>
      </c>
      <c r="B265" s="110">
        <v>281.86320000000001</v>
      </c>
      <c r="C265" s="91">
        <v>0</v>
      </c>
      <c r="D265" s="77">
        <v>0</v>
      </c>
      <c r="E265" s="77">
        <v>939.54399999999998</v>
      </c>
      <c r="F265" s="109">
        <f>(B265-D265)*1000/E265</f>
        <v>300</v>
      </c>
      <c r="G265" s="93">
        <f>MIN($B265,(75*$E265/1000)+$D265)</f>
        <v>70.465800000000002</v>
      </c>
      <c r="H265" s="93">
        <f>MIN($B265,(150*$E265/1000)+$D265)</f>
        <v>140.9316</v>
      </c>
      <c r="I265" s="93">
        <f>MIN($B265,(225*$E265/1000)+$D265)</f>
        <v>211.3974</v>
      </c>
      <c r="J265" s="93">
        <f>MIN($B265,(300*$E265/1000)+$D265)</f>
        <v>281.86320000000001</v>
      </c>
      <c r="K265" s="85">
        <v>281.86320000000001</v>
      </c>
      <c r="L265" s="85" t="s">
        <v>71</v>
      </c>
      <c r="M265" s="85"/>
      <c r="N265" s="79" t="str">
        <f t="shared" si="53"/>
        <v>Nee</v>
      </c>
      <c r="O265" s="79">
        <f t="shared" si="54"/>
        <v>300</v>
      </c>
      <c r="P265" s="115">
        <f t="shared" si="55"/>
        <v>300</v>
      </c>
      <c r="Z265" s="85"/>
      <c r="AA265" s="85">
        <v>15</v>
      </c>
    </row>
    <row r="266" spans="1:27" x14ac:dyDescent="0.2">
      <c r="A266" s="85"/>
      <c r="B266" s="110"/>
      <c r="C266" s="91"/>
      <c r="D266" s="77"/>
      <c r="E266" s="77"/>
      <c r="F266" s="109"/>
      <c r="G266" s="93"/>
      <c r="H266" s="93"/>
      <c r="I266" s="93"/>
      <c r="J266" s="93"/>
      <c r="K266" s="85"/>
      <c r="L266" s="85"/>
      <c r="M266" s="85"/>
      <c r="N266" s="79"/>
      <c r="O266" s="79"/>
      <c r="P266" s="115"/>
      <c r="Z266" s="85"/>
      <c r="AA266" s="85"/>
    </row>
    <row r="267" spans="1:27" ht="14.25" x14ac:dyDescent="0.2">
      <c r="A267" s="122" t="s">
        <v>281</v>
      </c>
      <c r="B267" s="110"/>
      <c r="C267" s="91"/>
      <c r="D267" s="77"/>
      <c r="E267" s="77"/>
      <c r="F267" s="109"/>
      <c r="G267" s="93"/>
      <c r="H267" s="93"/>
      <c r="I267" s="93"/>
      <c r="J267" s="93"/>
      <c r="K267" s="85"/>
      <c r="L267" s="85"/>
      <c r="M267" s="85"/>
      <c r="N267" s="79"/>
      <c r="O267" s="79"/>
      <c r="P267" s="115"/>
      <c r="Z267" s="85"/>
      <c r="AA267" s="85"/>
    </row>
    <row r="268" spans="1:27" ht="15.75" x14ac:dyDescent="0.2">
      <c r="A268" s="123" t="s">
        <v>282</v>
      </c>
      <c r="B268" s="110">
        <v>147.256</v>
      </c>
      <c r="C268" s="91">
        <v>0</v>
      </c>
      <c r="D268" s="77">
        <v>0</v>
      </c>
      <c r="E268" s="77">
        <v>906.82500000000005</v>
      </c>
      <c r="F268" s="109">
        <f t="shared" ref="F268:F288" si="61">(B268-D268)*1000/E268</f>
        <v>162.386347972321</v>
      </c>
      <c r="G268" s="93">
        <f t="shared" ref="G268:G288" si="62">MIN($B268,(75*$E268/1000)+$D268)</f>
        <v>68.011875000000003</v>
      </c>
      <c r="H268" s="93">
        <f t="shared" ref="H268:H288" si="63">MIN($B268,(150*$E268/1000)+$D268)</f>
        <v>136.02375000000001</v>
      </c>
      <c r="I268" s="93">
        <f t="shared" ref="I268:I288" si="64">MIN($B268,(225*$E268/1000)+$D268)</f>
        <v>147.256</v>
      </c>
      <c r="J268" s="93">
        <f t="shared" ref="J268:J288" si="65">MIN($B268,(300*$E268/1000)+$D268)</f>
        <v>147.256</v>
      </c>
      <c r="K268" s="85">
        <v>147.256</v>
      </c>
      <c r="L268" s="85" t="s">
        <v>71</v>
      </c>
      <c r="M268" s="85"/>
      <c r="N268" s="79" t="str">
        <f t="shared" si="53"/>
        <v>Nee</v>
      </c>
      <c r="O268" s="79">
        <f t="shared" si="54"/>
        <v>300</v>
      </c>
      <c r="P268" s="115">
        <f t="shared" si="55"/>
        <v>162.386</v>
      </c>
      <c r="Z268" s="85" t="str">
        <f>""</f>
        <v/>
      </c>
      <c r="AA268" s="85">
        <v>15</v>
      </c>
    </row>
    <row r="269" spans="1:27" ht="15.75" x14ac:dyDescent="0.2">
      <c r="A269" s="123" t="s">
        <v>283</v>
      </c>
      <c r="B269" s="110">
        <v>150.60480000000001</v>
      </c>
      <c r="C269" s="91">
        <v>0</v>
      </c>
      <c r="D269" s="77">
        <v>0</v>
      </c>
      <c r="E269" s="77">
        <v>902.01499999999999</v>
      </c>
      <c r="F269" s="109">
        <f t="shared" si="61"/>
        <v>166.96485091711338</v>
      </c>
      <c r="G269" s="93">
        <f t="shared" si="62"/>
        <v>67.651124999999993</v>
      </c>
      <c r="H269" s="93">
        <f t="shared" si="63"/>
        <v>135.30224999999999</v>
      </c>
      <c r="I269" s="93">
        <f t="shared" si="64"/>
        <v>150.60480000000001</v>
      </c>
      <c r="J269" s="93">
        <f t="shared" si="65"/>
        <v>150.60480000000001</v>
      </c>
      <c r="K269" s="85">
        <v>150.60480000000001</v>
      </c>
      <c r="L269" s="85" t="s">
        <v>71</v>
      </c>
      <c r="M269" s="85"/>
      <c r="N269" s="79" t="str">
        <f t="shared" si="53"/>
        <v>Nee</v>
      </c>
      <c r="O269" s="79">
        <f t="shared" si="54"/>
        <v>300</v>
      </c>
      <c r="P269" s="115">
        <f t="shared" si="55"/>
        <v>166.965</v>
      </c>
      <c r="Z269" s="85" t="str">
        <f>""</f>
        <v/>
      </c>
      <c r="AA269" s="85">
        <v>15</v>
      </c>
    </row>
    <row r="270" spans="1:27" x14ac:dyDescent="0.2">
      <c r="A270" s="123" t="s">
        <v>404</v>
      </c>
      <c r="B270" s="110">
        <v>201.17789999999999</v>
      </c>
      <c r="C270" s="91">
        <v>0</v>
      </c>
      <c r="D270" s="77">
        <v>0</v>
      </c>
      <c r="E270" s="77">
        <v>902.01499999999999</v>
      </c>
      <c r="F270" s="109">
        <f t="shared" si="61"/>
        <v>223.03165690149277</v>
      </c>
      <c r="G270" s="93">
        <f t="shared" si="62"/>
        <v>67.651124999999993</v>
      </c>
      <c r="H270" s="93">
        <f t="shared" si="63"/>
        <v>135.30224999999999</v>
      </c>
      <c r="I270" s="93">
        <f t="shared" si="64"/>
        <v>201.17789999999999</v>
      </c>
      <c r="J270" s="93">
        <f t="shared" si="65"/>
        <v>201.17789999999999</v>
      </c>
      <c r="K270" s="85">
        <v>201.17789999999999</v>
      </c>
      <c r="L270" s="85" t="s">
        <v>71</v>
      </c>
      <c r="M270" s="85"/>
      <c r="N270" s="79" t="str">
        <f t="shared" si="53"/>
        <v>Nee</v>
      </c>
      <c r="O270" s="79">
        <f t="shared" si="54"/>
        <v>300</v>
      </c>
      <c r="P270" s="115">
        <f t="shared" si="55"/>
        <v>223.03200000000001</v>
      </c>
      <c r="Z270" s="85"/>
      <c r="AA270" s="85">
        <v>15</v>
      </c>
    </row>
    <row r="271" spans="1:27" ht="15.75" x14ac:dyDescent="0.2">
      <c r="A271" s="123" t="s">
        <v>284</v>
      </c>
      <c r="B271" s="110">
        <v>179.3614</v>
      </c>
      <c r="C271" s="91">
        <v>0</v>
      </c>
      <c r="D271" s="77">
        <v>0</v>
      </c>
      <c r="E271" s="77">
        <v>906.82500000000005</v>
      </c>
      <c r="F271" s="109">
        <f t="shared" si="61"/>
        <v>197.79053290326135</v>
      </c>
      <c r="G271" s="93">
        <f t="shared" si="62"/>
        <v>68.011875000000003</v>
      </c>
      <c r="H271" s="93">
        <f t="shared" si="63"/>
        <v>136.02375000000001</v>
      </c>
      <c r="I271" s="93">
        <f t="shared" si="64"/>
        <v>179.3614</v>
      </c>
      <c r="J271" s="93">
        <f t="shared" si="65"/>
        <v>179.3614</v>
      </c>
      <c r="K271" s="85">
        <v>179.3614</v>
      </c>
      <c r="L271" s="85" t="s">
        <v>71</v>
      </c>
      <c r="M271" s="85"/>
      <c r="N271" s="79" t="str">
        <f t="shared" si="53"/>
        <v>Nee</v>
      </c>
      <c r="O271" s="79">
        <f t="shared" si="54"/>
        <v>300</v>
      </c>
      <c r="P271" s="115">
        <f t="shared" si="55"/>
        <v>197.791</v>
      </c>
      <c r="Z271" s="85" t="str">
        <f>""</f>
        <v/>
      </c>
      <c r="AA271" s="85">
        <v>15</v>
      </c>
    </row>
    <row r="272" spans="1:27" ht="15.75" x14ac:dyDescent="0.2">
      <c r="A272" s="123" t="s">
        <v>285</v>
      </c>
      <c r="B272" s="110">
        <v>178.2373</v>
      </c>
      <c r="C272" s="91">
        <v>0</v>
      </c>
      <c r="D272" s="77">
        <v>0</v>
      </c>
      <c r="E272" s="77">
        <v>902.01499999999999</v>
      </c>
      <c r="F272" s="109">
        <f t="shared" si="61"/>
        <v>197.59904214453198</v>
      </c>
      <c r="G272" s="93">
        <f t="shared" si="62"/>
        <v>67.651124999999993</v>
      </c>
      <c r="H272" s="93">
        <f t="shared" si="63"/>
        <v>135.30224999999999</v>
      </c>
      <c r="I272" s="93">
        <f t="shared" si="64"/>
        <v>178.2373</v>
      </c>
      <c r="J272" s="93">
        <f t="shared" si="65"/>
        <v>178.2373</v>
      </c>
      <c r="K272" s="85">
        <v>178.2373</v>
      </c>
      <c r="L272" s="85" t="s">
        <v>71</v>
      </c>
      <c r="M272" s="85"/>
      <c r="N272" s="79" t="str">
        <f t="shared" si="53"/>
        <v>Nee</v>
      </c>
      <c r="O272" s="79">
        <f t="shared" si="54"/>
        <v>300</v>
      </c>
      <c r="P272" s="115">
        <f t="shared" si="55"/>
        <v>197.59899999999999</v>
      </c>
      <c r="Z272" s="85" t="str">
        <f>""</f>
        <v/>
      </c>
      <c r="AA272" s="85">
        <v>15</v>
      </c>
    </row>
    <row r="273" spans="1:27" x14ac:dyDescent="0.2">
      <c r="A273" s="123" t="s">
        <v>405</v>
      </c>
      <c r="B273" s="110">
        <v>228.81039999999999</v>
      </c>
      <c r="C273" s="91">
        <v>0</v>
      </c>
      <c r="D273" s="77">
        <v>0</v>
      </c>
      <c r="E273" s="77">
        <v>902.01499999999999</v>
      </c>
      <c r="F273" s="109">
        <f t="shared" si="61"/>
        <v>253.66584812891139</v>
      </c>
      <c r="G273" s="93">
        <f t="shared" si="62"/>
        <v>67.651124999999993</v>
      </c>
      <c r="H273" s="93">
        <f t="shared" si="63"/>
        <v>135.30224999999999</v>
      </c>
      <c r="I273" s="93">
        <f t="shared" si="64"/>
        <v>202.95337499999999</v>
      </c>
      <c r="J273" s="93">
        <f t="shared" si="65"/>
        <v>228.81039999999999</v>
      </c>
      <c r="K273" s="85">
        <v>228.81039999999999</v>
      </c>
      <c r="L273" s="85" t="s">
        <v>71</v>
      </c>
      <c r="M273" s="85"/>
      <c r="N273" s="79" t="str">
        <f t="shared" si="53"/>
        <v>Nee</v>
      </c>
      <c r="O273" s="79">
        <f t="shared" si="54"/>
        <v>300</v>
      </c>
      <c r="P273" s="115">
        <f t="shared" si="55"/>
        <v>253.666</v>
      </c>
      <c r="Z273" s="85"/>
      <c r="AA273" s="85">
        <v>15</v>
      </c>
    </row>
    <row r="274" spans="1:27" ht="15.75" x14ac:dyDescent="0.2">
      <c r="A274" s="123" t="s">
        <v>286</v>
      </c>
      <c r="B274" s="110">
        <v>151.5119</v>
      </c>
      <c r="C274" s="91">
        <v>0</v>
      </c>
      <c r="D274" s="77">
        <v>0</v>
      </c>
      <c r="E274" s="77">
        <v>912.9</v>
      </c>
      <c r="F274" s="109">
        <f t="shared" si="61"/>
        <v>165.96768539818163</v>
      </c>
      <c r="G274" s="93">
        <f t="shared" si="62"/>
        <v>68.467500000000001</v>
      </c>
      <c r="H274" s="93">
        <f t="shared" si="63"/>
        <v>136.935</v>
      </c>
      <c r="I274" s="93">
        <f t="shared" si="64"/>
        <v>151.5119</v>
      </c>
      <c r="J274" s="93">
        <f t="shared" si="65"/>
        <v>151.5119</v>
      </c>
      <c r="K274" s="85">
        <v>151.5119</v>
      </c>
      <c r="L274" s="85" t="s">
        <v>71</v>
      </c>
      <c r="M274" s="85"/>
      <c r="N274" s="79" t="str">
        <f t="shared" si="53"/>
        <v>Nee</v>
      </c>
      <c r="O274" s="79">
        <f t="shared" si="54"/>
        <v>300</v>
      </c>
      <c r="P274" s="115">
        <f t="shared" si="55"/>
        <v>165.96799999999999</v>
      </c>
      <c r="Z274" s="85" t="str">
        <f>""</f>
        <v/>
      </c>
      <c r="AA274" s="85">
        <v>15</v>
      </c>
    </row>
    <row r="275" spans="1:27" ht="15.75" x14ac:dyDescent="0.2">
      <c r="A275" s="123" t="s">
        <v>287</v>
      </c>
      <c r="B275" s="110">
        <v>155.80500000000001</v>
      </c>
      <c r="C275" s="91">
        <v>0</v>
      </c>
      <c r="D275" s="77">
        <v>0</v>
      </c>
      <c r="E275" s="77">
        <v>908.09</v>
      </c>
      <c r="F275" s="109">
        <f t="shared" si="61"/>
        <v>171.5744034181634</v>
      </c>
      <c r="G275" s="93">
        <f t="shared" si="62"/>
        <v>68.106750000000005</v>
      </c>
      <c r="H275" s="93">
        <f t="shared" si="63"/>
        <v>136.21350000000001</v>
      </c>
      <c r="I275" s="93">
        <f t="shared" si="64"/>
        <v>155.80500000000001</v>
      </c>
      <c r="J275" s="93">
        <f t="shared" si="65"/>
        <v>155.80500000000001</v>
      </c>
      <c r="K275" s="85">
        <v>155.80500000000001</v>
      </c>
      <c r="L275" s="85" t="s">
        <v>71</v>
      </c>
      <c r="M275" s="85"/>
      <c r="N275" s="79" t="str">
        <f t="shared" si="53"/>
        <v>Nee</v>
      </c>
      <c r="O275" s="79">
        <f t="shared" si="54"/>
        <v>300</v>
      </c>
      <c r="P275" s="115">
        <f t="shared" si="55"/>
        <v>171.57400000000001</v>
      </c>
      <c r="Z275" s="85" t="str">
        <f>""</f>
        <v/>
      </c>
      <c r="AA275" s="85">
        <v>15</v>
      </c>
    </row>
    <row r="276" spans="1:27" x14ac:dyDescent="0.2">
      <c r="A276" s="123" t="s">
        <v>406</v>
      </c>
      <c r="B276" s="110">
        <v>206.37809999999999</v>
      </c>
      <c r="C276" s="91">
        <v>0</v>
      </c>
      <c r="D276" s="77">
        <v>0</v>
      </c>
      <c r="E276" s="77">
        <v>908.09</v>
      </c>
      <c r="F276" s="109">
        <f t="shared" si="61"/>
        <v>227.26613000914003</v>
      </c>
      <c r="G276" s="93">
        <f t="shared" si="62"/>
        <v>68.106750000000005</v>
      </c>
      <c r="H276" s="93">
        <f t="shared" si="63"/>
        <v>136.21350000000001</v>
      </c>
      <c r="I276" s="93">
        <f t="shared" si="64"/>
        <v>204.32024999999999</v>
      </c>
      <c r="J276" s="93">
        <f t="shared" si="65"/>
        <v>206.37809999999999</v>
      </c>
      <c r="K276" s="85">
        <v>206.37809999999999</v>
      </c>
      <c r="L276" s="85" t="s">
        <v>71</v>
      </c>
      <c r="M276" s="85"/>
      <c r="N276" s="79" t="str">
        <f t="shared" si="53"/>
        <v>Nee</v>
      </c>
      <c r="O276" s="79">
        <f t="shared" si="54"/>
        <v>300</v>
      </c>
      <c r="P276" s="115">
        <f t="shared" si="55"/>
        <v>227.26599999999999</v>
      </c>
      <c r="Z276" s="85"/>
      <c r="AA276" s="85">
        <v>15</v>
      </c>
    </row>
    <row r="277" spans="1:27" x14ac:dyDescent="0.2">
      <c r="A277" s="123" t="s">
        <v>288</v>
      </c>
      <c r="B277" s="110">
        <v>298.96800000000002</v>
      </c>
      <c r="C277" s="91">
        <v>0</v>
      </c>
      <c r="D277" s="77">
        <v>0</v>
      </c>
      <c r="E277" s="77">
        <v>996.56</v>
      </c>
      <c r="F277" s="109">
        <f t="shared" si="61"/>
        <v>300</v>
      </c>
      <c r="G277" s="93">
        <f t="shared" si="62"/>
        <v>74.742000000000004</v>
      </c>
      <c r="H277" s="93">
        <f t="shared" si="63"/>
        <v>149.48400000000001</v>
      </c>
      <c r="I277" s="93">
        <f t="shared" si="64"/>
        <v>224.226</v>
      </c>
      <c r="J277" s="93">
        <f t="shared" si="65"/>
        <v>298.96800000000002</v>
      </c>
      <c r="K277" s="85">
        <v>298.96800000000002</v>
      </c>
      <c r="L277" s="85" t="s">
        <v>71</v>
      </c>
      <c r="M277" s="85"/>
      <c r="N277" s="79" t="str">
        <f t="shared" si="53"/>
        <v>Nee</v>
      </c>
      <c r="O277" s="79">
        <f t="shared" si="54"/>
        <v>300</v>
      </c>
      <c r="P277" s="115">
        <f t="shared" si="55"/>
        <v>300</v>
      </c>
      <c r="Z277" s="85" t="str">
        <f>""</f>
        <v/>
      </c>
      <c r="AA277" s="85">
        <v>15</v>
      </c>
    </row>
    <row r="278" spans="1:27" x14ac:dyDescent="0.2">
      <c r="A278" s="123" t="s">
        <v>289</v>
      </c>
      <c r="B278" s="110">
        <v>297.52499999999998</v>
      </c>
      <c r="C278" s="91">
        <v>0</v>
      </c>
      <c r="D278" s="77">
        <v>0</v>
      </c>
      <c r="E278" s="77">
        <v>991.75</v>
      </c>
      <c r="F278" s="109">
        <f t="shared" si="61"/>
        <v>300</v>
      </c>
      <c r="G278" s="93">
        <f t="shared" si="62"/>
        <v>74.381249999999994</v>
      </c>
      <c r="H278" s="93">
        <f t="shared" si="63"/>
        <v>148.76249999999999</v>
      </c>
      <c r="I278" s="93">
        <f t="shared" si="64"/>
        <v>223.14375000000001</v>
      </c>
      <c r="J278" s="93">
        <f t="shared" si="65"/>
        <v>297.52499999999998</v>
      </c>
      <c r="K278" s="85">
        <v>297.52499999999998</v>
      </c>
      <c r="L278" s="85" t="s">
        <v>71</v>
      </c>
      <c r="M278" s="85"/>
      <c r="N278" s="79" t="str">
        <f t="shared" si="53"/>
        <v>Nee</v>
      </c>
      <c r="O278" s="79">
        <f t="shared" si="54"/>
        <v>300</v>
      </c>
      <c r="P278" s="115">
        <f t="shared" si="55"/>
        <v>300</v>
      </c>
      <c r="Z278" s="85" t="str">
        <f>""</f>
        <v/>
      </c>
      <c r="AA278" s="85">
        <v>15</v>
      </c>
    </row>
    <row r="279" spans="1:27" x14ac:dyDescent="0.2">
      <c r="A279" s="123" t="s">
        <v>407</v>
      </c>
      <c r="B279" s="110">
        <v>297.52499999999998</v>
      </c>
      <c r="C279" s="91">
        <v>0</v>
      </c>
      <c r="D279" s="77">
        <v>0</v>
      </c>
      <c r="E279" s="77">
        <v>991.75</v>
      </c>
      <c r="F279" s="109">
        <f t="shared" si="61"/>
        <v>300</v>
      </c>
      <c r="G279" s="93">
        <f t="shared" si="62"/>
        <v>74.381249999999994</v>
      </c>
      <c r="H279" s="93">
        <f t="shared" si="63"/>
        <v>148.76249999999999</v>
      </c>
      <c r="I279" s="93">
        <f t="shared" si="64"/>
        <v>223.14375000000001</v>
      </c>
      <c r="J279" s="93">
        <f t="shared" si="65"/>
        <v>297.52499999999998</v>
      </c>
      <c r="K279" s="85">
        <v>297.52499999999998</v>
      </c>
      <c r="L279" s="85" t="s">
        <v>71</v>
      </c>
      <c r="M279" s="85"/>
      <c r="N279" s="79" t="str">
        <f t="shared" si="53"/>
        <v>Nee</v>
      </c>
      <c r="O279" s="79">
        <f t="shared" si="54"/>
        <v>300</v>
      </c>
      <c r="P279" s="115">
        <f t="shared" si="55"/>
        <v>300</v>
      </c>
      <c r="Z279" s="85"/>
      <c r="AA279" s="85">
        <v>15</v>
      </c>
    </row>
    <row r="280" spans="1:27" x14ac:dyDescent="0.2">
      <c r="A280" s="123" t="s">
        <v>290</v>
      </c>
      <c r="B280" s="110">
        <v>293.17500000000001</v>
      </c>
      <c r="C280" s="91">
        <v>0</v>
      </c>
      <c r="D280" s="77">
        <v>0</v>
      </c>
      <c r="E280" s="77">
        <v>977.25</v>
      </c>
      <c r="F280" s="109">
        <f t="shared" si="61"/>
        <v>300</v>
      </c>
      <c r="G280" s="93">
        <f t="shared" si="62"/>
        <v>73.293750000000003</v>
      </c>
      <c r="H280" s="93">
        <f t="shared" si="63"/>
        <v>146.58750000000001</v>
      </c>
      <c r="I280" s="93">
        <f t="shared" si="64"/>
        <v>219.88124999999999</v>
      </c>
      <c r="J280" s="93">
        <f t="shared" si="65"/>
        <v>293.17500000000001</v>
      </c>
      <c r="K280" s="85">
        <v>293.17500000000001</v>
      </c>
      <c r="L280" s="85" t="s">
        <v>71</v>
      </c>
      <c r="M280" s="85"/>
      <c r="N280" s="79" t="str">
        <f t="shared" si="53"/>
        <v>Nee</v>
      </c>
      <c r="O280" s="79">
        <f t="shared" si="54"/>
        <v>300</v>
      </c>
      <c r="P280" s="115">
        <f t="shared" si="55"/>
        <v>300</v>
      </c>
      <c r="Z280" s="85"/>
      <c r="AA280" s="85">
        <v>15</v>
      </c>
    </row>
    <row r="281" spans="1:27" x14ac:dyDescent="0.2">
      <c r="A281" s="123" t="s">
        <v>291</v>
      </c>
      <c r="B281" s="110">
        <v>291.73200000000003</v>
      </c>
      <c r="C281" s="91">
        <v>0</v>
      </c>
      <c r="D281" s="77">
        <v>0</v>
      </c>
      <c r="E281" s="77">
        <v>972.44</v>
      </c>
      <c r="F281" s="109">
        <f t="shared" si="61"/>
        <v>300</v>
      </c>
      <c r="G281" s="93">
        <f t="shared" si="62"/>
        <v>72.933000000000007</v>
      </c>
      <c r="H281" s="93">
        <f t="shared" si="63"/>
        <v>145.86600000000001</v>
      </c>
      <c r="I281" s="93">
        <f t="shared" si="64"/>
        <v>218.79900000000001</v>
      </c>
      <c r="J281" s="93">
        <f t="shared" si="65"/>
        <v>291.73200000000003</v>
      </c>
      <c r="K281" s="85">
        <v>291.73200000000003</v>
      </c>
      <c r="L281" s="85" t="s">
        <v>71</v>
      </c>
      <c r="M281" s="85"/>
      <c r="N281" s="79" t="str">
        <f t="shared" si="53"/>
        <v>Nee</v>
      </c>
      <c r="O281" s="79">
        <f t="shared" si="54"/>
        <v>300</v>
      </c>
      <c r="P281" s="115">
        <f t="shared" si="55"/>
        <v>300</v>
      </c>
      <c r="Z281" s="85"/>
      <c r="AA281" s="85">
        <v>15</v>
      </c>
    </row>
    <row r="282" spans="1:27" x14ac:dyDescent="0.2">
      <c r="A282" s="123" t="s">
        <v>408</v>
      </c>
      <c r="B282" s="110">
        <v>291.73200000000003</v>
      </c>
      <c r="C282" s="91">
        <v>0</v>
      </c>
      <c r="D282" s="77">
        <v>0</v>
      </c>
      <c r="E282" s="77">
        <v>972.44</v>
      </c>
      <c r="F282" s="109">
        <f t="shared" si="61"/>
        <v>300</v>
      </c>
      <c r="G282" s="93">
        <f t="shared" si="62"/>
        <v>72.933000000000007</v>
      </c>
      <c r="H282" s="93">
        <f t="shared" si="63"/>
        <v>145.86600000000001</v>
      </c>
      <c r="I282" s="93">
        <f t="shared" si="64"/>
        <v>218.79900000000001</v>
      </c>
      <c r="J282" s="93">
        <f t="shared" si="65"/>
        <v>291.73200000000003</v>
      </c>
      <c r="K282" s="85">
        <v>291.73200000000003</v>
      </c>
      <c r="L282" s="85" t="s">
        <v>71</v>
      </c>
      <c r="M282" s="85"/>
      <c r="N282" s="79" t="str">
        <f t="shared" si="53"/>
        <v>Nee</v>
      </c>
      <c r="O282" s="79">
        <f t="shared" si="54"/>
        <v>300</v>
      </c>
      <c r="P282" s="115">
        <f t="shared" si="55"/>
        <v>300</v>
      </c>
      <c r="Z282" s="85"/>
      <c r="AA282" s="85">
        <v>15</v>
      </c>
    </row>
    <row r="283" spans="1:27" ht="15.75" x14ac:dyDescent="0.3">
      <c r="A283" s="85" t="s">
        <v>292</v>
      </c>
      <c r="B283" s="110">
        <v>227.84360000000001</v>
      </c>
      <c r="C283" s="91">
        <v>0</v>
      </c>
      <c r="D283" s="77">
        <v>0</v>
      </c>
      <c r="E283" s="77">
        <v>825.2</v>
      </c>
      <c r="F283" s="109">
        <f t="shared" si="61"/>
        <v>276.10712554532233</v>
      </c>
      <c r="G283" s="93">
        <f t="shared" si="62"/>
        <v>61.89</v>
      </c>
      <c r="H283" s="93">
        <f t="shared" si="63"/>
        <v>123.78</v>
      </c>
      <c r="I283" s="93">
        <f t="shared" si="64"/>
        <v>185.67</v>
      </c>
      <c r="J283" s="93">
        <f t="shared" si="65"/>
        <v>227.84360000000001</v>
      </c>
      <c r="K283" s="85">
        <v>227.84360000000001</v>
      </c>
      <c r="L283" s="85" t="s">
        <v>71</v>
      </c>
      <c r="M283" s="85"/>
      <c r="N283" s="79" t="str">
        <f t="shared" si="53"/>
        <v>Nee</v>
      </c>
      <c r="O283" s="79">
        <f t="shared" si="54"/>
        <v>300</v>
      </c>
      <c r="P283" s="115">
        <f t="shared" si="55"/>
        <v>276.10700000000003</v>
      </c>
      <c r="Z283" s="85" t="str">
        <f>""</f>
        <v/>
      </c>
      <c r="AA283" s="85">
        <v>15</v>
      </c>
    </row>
    <row r="284" spans="1:27" ht="15.75" x14ac:dyDescent="0.3">
      <c r="A284" s="85" t="s">
        <v>293</v>
      </c>
      <c r="B284" s="110">
        <v>223.93049999999999</v>
      </c>
      <c r="C284" s="91">
        <v>0</v>
      </c>
      <c r="D284" s="77">
        <v>0</v>
      </c>
      <c r="E284" s="77">
        <v>821.69</v>
      </c>
      <c r="F284" s="109">
        <f t="shared" si="61"/>
        <v>272.52430965449253</v>
      </c>
      <c r="G284" s="93">
        <f t="shared" si="62"/>
        <v>61.626750000000008</v>
      </c>
      <c r="H284" s="93">
        <f t="shared" si="63"/>
        <v>123.25350000000002</v>
      </c>
      <c r="I284" s="93">
        <f t="shared" si="64"/>
        <v>184.88024999999999</v>
      </c>
      <c r="J284" s="93">
        <f t="shared" si="65"/>
        <v>223.93049999999999</v>
      </c>
      <c r="K284" s="85">
        <v>223.93049999999999</v>
      </c>
      <c r="L284" s="85" t="s">
        <v>71</v>
      </c>
      <c r="M284" s="85"/>
      <c r="N284" s="79" t="str">
        <f t="shared" si="53"/>
        <v>Nee</v>
      </c>
      <c r="O284" s="79">
        <f t="shared" si="54"/>
        <v>300</v>
      </c>
      <c r="P284" s="115">
        <f t="shared" si="55"/>
        <v>272.524</v>
      </c>
      <c r="Z284" s="85" t="str">
        <f>""</f>
        <v/>
      </c>
      <c r="AA284" s="85">
        <v>15</v>
      </c>
    </row>
    <row r="285" spans="1:27" x14ac:dyDescent="0.2">
      <c r="A285" s="85" t="s">
        <v>409</v>
      </c>
      <c r="B285" s="110">
        <v>246.50700000000003</v>
      </c>
      <c r="C285" s="91">
        <v>0</v>
      </c>
      <c r="D285" s="77">
        <v>0</v>
      </c>
      <c r="E285" s="77">
        <v>821.69</v>
      </c>
      <c r="F285" s="109">
        <f t="shared" si="61"/>
        <v>300</v>
      </c>
      <c r="G285" s="93">
        <f t="shared" si="62"/>
        <v>61.626750000000008</v>
      </c>
      <c r="H285" s="93">
        <f t="shared" si="63"/>
        <v>123.25350000000002</v>
      </c>
      <c r="I285" s="93">
        <f t="shared" si="64"/>
        <v>184.88024999999999</v>
      </c>
      <c r="J285" s="93">
        <f t="shared" si="65"/>
        <v>246.50700000000003</v>
      </c>
      <c r="K285" s="85">
        <v>246.50700000000003</v>
      </c>
      <c r="L285" s="85" t="s">
        <v>71</v>
      </c>
      <c r="M285" s="85"/>
      <c r="N285" s="79" t="str">
        <f t="shared" ref="N285:N348" si="66">IF(M285="","Nee","Ja")</f>
        <v>Nee</v>
      </c>
      <c r="O285" s="79">
        <f t="shared" ref="O285:O348" si="67">IF(N285="Nee",300,400)</f>
        <v>300</v>
      </c>
      <c r="P285" s="115">
        <f t="shared" ref="P285:P348" si="68">ROUND(((B285-D285)*1000/E285),3)</f>
        <v>300</v>
      </c>
      <c r="Z285" s="85"/>
      <c r="AA285" s="85">
        <v>15</v>
      </c>
    </row>
    <row r="286" spans="1:27" ht="15.75" x14ac:dyDescent="0.3">
      <c r="A286" s="85" t="s">
        <v>294</v>
      </c>
      <c r="B286" s="110">
        <v>206.22239999999999</v>
      </c>
      <c r="C286" s="91">
        <v>0</v>
      </c>
      <c r="D286" s="77">
        <v>0</v>
      </c>
      <c r="E286" s="77">
        <v>840.95</v>
      </c>
      <c r="F286" s="109">
        <f t="shared" si="61"/>
        <v>245.22551875854685</v>
      </c>
      <c r="G286" s="93">
        <f t="shared" si="62"/>
        <v>63.071249999999999</v>
      </c>
      <c r="H286" s="93">
        <f t="shared" si="63"/>
        <v>126.1425</v>
      </c>
      <c r="I286" s="93">
        <f t="shared" si="64"/>
        <v>189.21375</v>
      </c>
      <c r="J286" s="93">
        <f t="shared" si="65"/>
        <v>206.22239999999999</v>
      </c>
      <c r="K286" s="85">
        <v>206.22239999999999</v>
      </c>
      <c r="L286" s="85" t="s">
        <v>71</v>
      </c>
      <c r="M286" s="85"/>
      <c r="N286" s="79" t="str">
        <f t="shared" si="66"/>
        <v>Nee</v>
      </c>
      <c r="O286" s="79">
        <f t="shared" si="67"/>
        <v>300</v>
      </c>
      <c r="P286" s="115">
        <f t="shared" si="68"/>
        <v>245.226</v>
      </c>
      <c r="Z286" s="85" t="str">
        <f>""</f>
        <v/>
      </c>
      <c r="AA286" s="85">
        <v>15</v>
      </c>
    </row>
    <row r="287" spans="1:27" ht="15.75" x14ac:dyDescent="0.3">
      <c r="A287" s="85" t="s">
        <v>295</v>
      </c>
      <c r="B287" s="110">
        <v>197.517</v>
      </c>
      <c r="C287" s="91">
        <v>0</v>
      </c>
      <c r="D287" s="77">
        <v>0</v>
      </c>
      <c r="E287" s="77">
        <v>837.44</v>
      </c>
      <c r="F287" s="109">
        <f t="shared" si="61"/>
        <v>235.85809132594574</v>
      </c>
      <c r="G287" s="93">
        <f t="shared" si="62"/>
        <v>62.808000000000007</v>
      </c>
      <c r="H287" s="93">
        <f t="shared" si="63"/>
        <v>125.61600000000001</v>
      </c>
      <c r="I287" s="93">
        <f t="shared" si="64"/>
        <v>188.42400000000001</v>
      </c>
      <c r="J287" s="93">
        <f t="shared" si="65"/>
        <v>197.517</v>
      </c>
      <c r="K287" s="85">
        <v>197.517</v>
      </c>
      <c r="L287" s="85" t="s">
        <v>71</v>
      </c>
      <c r="M287" s="85"/>
      <c r="N287" s="79" t="str">
        <f t="shared" si="66"/>
        <v>Nee</v>
      </c>
      <c r="O287" s="79">
        <f t="shared" si="67"/>
        <v>300</v>
      </c>
      <c r="P287" s="115">
        <f t="shared" si="68"/>
        <v>235.858</v>
      </c>
      <c r="Z287" s="85" t="str">
        <f>""</f>
        <v/>
      </c>
      <c r="AA287" s="85">
        <v>15</v>
      </c>
    </row>
    <row r="288" spans="1:27" x14ac:dyDescent="0.2">
      <c r="A288" s="85" t="s">
        <v>410</v>
      </c>
      <c r="B288" s="110">
        <v>248.09010000000001</v>
      </c>
      <c r="C288" s="91">
        <v>0</v>
      </c>
      <c r="D288" s="77">
        <v>0</v>
      </c>
      <c r="E288" s="77">
        <v>837.44</v>
      </c>
      <c r="F288" s="109">
        <f t="shared" si="61"/>
        <v>296.24820882690102</v>
      </c>
      <c r="G288" s="93">
        <f t="shared" si="62"/>
        <v>62.808000000000007</v>
      </c>
      <c r="H288" s="93">
        <f t="shared" si="63"/>
        <v>125.61600000000001</v>
      </c>
      <c r="I288" s="93">
        <f t="shared" si="64"/>
        <v>188.42400000000001</v>
      </c>
      <c r="J288" s="93">
        <f t="shared" si="65"/>
        <v>248.09010000000001</v>
      </c>
      <c r="K288" s="85">
        <v>248.09010000000001</v>
      </c>
      <c r="L288" s="85" t="s">
        <v>71</v>
      </c>
      <c r="M288" s="85"/>
      <c r="N288" s="79" t="str">
        <f t="shared" si="66"/>
        <v>Nee</v>
      </c>
      <c r="O288" s="79">
        <f t="shared" si="67"/>
        <v>300</v>
      </c>
      <c r="P288" s="115">
        <f t="shared" si="68"/>
        <v>296.24799999999999</v>
      </c>
      <c r="Z288" s="85"/>
      <c r="AA288" s="85">
        <v>15</v>
      </c>
    </row>
    <row r="289" spans="1:27" x14ac:dyDescent="0.2">
      <c r="A289" s="85"/>
      <c r="B289" s="110"/>
      <c r="C289" s="91"/>
      <c r="D289" s="77"/>
      <c r="E289" s="77"/>
      <c r="F289" s="109"/>
      <c r="G289" s="93"/>
      <c r="H289" s="93"/>
      <c r="I289" s="93"/>
      <c r="J289" s="93"/>
      <c r="K289" s="85"/>
      <c r="L289" s="85"/>
      <c r="M289" s="85"/>
      <c r="N289" s="79"/>
      <c r="O289" s="79"/>
      <c r="P289" s="115"/>
      <c r="Z289" s="85"/>
      <c r="AA289" s="85"/>
    </row>
    <row r="290" spans="1:27" ht="14.25" x14ac:dyDescent="0.2">
      <c r="A290" s="124" t="s">
        <v>296</v>
      </c>
      <c r="B290" s="110"/>
      <c r="C290" s="91"/>
      <c r="D290" s="77"/>
      <c r="E290" s="77"/>
      <c r="F290" s="109"/>
      <c r="G290" s="93"/>
      <c r="H290" s="93"/>
      <c r="I290" s="93"/>
      <c r="J290" s="93"/>
      <c r="K290" s="85"/>
      <c r="L290" s="85"/>
      <c r="M290" s="85"/>
      <c r="N290" s="79"/>
      <c r="O290" s="79"/>
      <c r="P290" s="115"/>
      <c r="Z290" s="85"/>
      <c r="AA290" s="85"/>
    </row>
    <row r="291" spans="1:27" ht="15.75" x14ac:dyDescent="0.3">
      <c r="A291" s="85" t="s">
        <v>297</v>
      </c>
      <c r="B291" s="110">
        <v>83.469099999999997</v>
      </c>
      <c r="C291" s="91">
        <v>18.9849</v>
      </c>
      <c r="D291" s="77">
        <v>79.298599999999993</v>
      </c>
      <c r="E291" s="77">
        <v>845.43499999999995</v>
      </c>
      <c r="F291" s="109">
        <f t="shared" ref="F291:F299" si="69">(B291-D291)*1000/E291</f>
        <v>4.9329635039949897</v>
      </c>
      <c r="G291" s="93">
        <f t="shared" ref="G291:G299" si="70">MIN($B291,(75*$E291/1000)+$D291)</f>
        <v>83.469099999999997</v>
      </c>
      <c r="H291" s="93">
        <f t="shared" ref="H291:H299" si="71">MIN($B291,(150*$E291/1000)+$D291)</f>
        <v>83.469099999999997</v>
      </c>
      <c r="I291" s="93">
        <f t="shared" ref="I291:I299" si="72">MIN($B291,(225*$E291/1000)+$D291)</f>
        <v>83.469099999999997</v>
      </c>
      <c r="J291" s="93">
        <f t="shared" ref="J291:J299" si="73">MIN($B291,(300*$E291/1000)+$D291)</f>
        <v>83.469099999999997</v>
      </c>
      <c r="K291" s="85">
        <v>83.469099999999997</v>
      </c>
      <c r="L291" s="85" t="s">
        <v>71</v>
      </c>
      <c r="M291" s="85"/>
      <c r="N291" s="79" t="str">
        <f t="shared" si="66"/>
        <v>Nee</v>
      </c>
      <c r="O291" s="79">
        <f t="shared" si="67"/>
        <v>300</v>
      </c>
      <c r="P291" s="115">
        <f t="shared" si="68"/>
        <v>4.9329999999999998</v>
      </c>
      <c r="Z291" s="85" t="str">
        <f>""</f>
        <v/>
      </c>
      <c r="AA291" s="85">
        <v>15</v>
      </c>
    </row>
    <row r="292" spans="1:27" ht="15.75" x14ac:dyDescent="0.3">
      <c r="A292" s="85" t="s">
        <v>298</v>
      </c>
      <c r="B292" s="110">
        <v>97.905900000000003</v>
      </c>
      <c r="C292" s="91">
        <v>18.9849</v>
      </c>
      <c r="D292" s="77">
        <v>79.298599999999993</v>
      </c>
      <c r="E292" s="77">
        <v>845.43499999999995</v>
      </c>
      <c r="F292" s="109">
        <f t="shared" si="69"/>
        <v>22.009143222128266</v>
      </c>
      <c r="G292" s="93">
        <f t="shared" si="70"/>
        <v>97.905900000000003</v>
      </c>
      <c r="H292" s="93">
        <f t="shared" si="71"/>
        <v>97.905900000000003</v>
      </c>
      <c r="I292" s="93">
        <f t="shared" si="72"/>
        <v>97.905900000000003</v>
      </c>
      <c r="J292" s="93">
        <f t="shared" si="73"/>
        <v>97.905900000000003</v>
      </c>
      <c r="K292" s="85">
        <v>97.905900000000003</v>
      </c>
      <c r="L292" s="85" t="s">
        <v>71</v>
      </c>
      <c r="M292" s="85"/>
      <c r="N292" s="79" t="str">
        <f t="shared" si="66"/>
        <v>Nee</v>
      </c>
      <c r="O292" s="79">
        <f t="shared" si="67"/>
        <v>300</v>
      </c>
      <c r="P292" s="115">
        <f t="shared" si="68"/>
        <v>22.009</v>
      </c>
      <c r="Z292" s="85" t="str">
        <f>""</f>
        <v/>
      </c>
      <c r="AA292" s="85">
        <v>15</v>
      </c>
    </row>
    <row r="293" spans="1:27" ht="15.75" x14ac:dyDescent="0.3">
      <c r="A293" s="85" t="s">
        <v>299</v>
      </c>
      <c r="B293" s="110">
        <v>160.9674</v>
      </c>
      <c r="C293" s="91">
        <v>18.9849</v>
      </c>
      <c r="D293" s="77">
        <v>79.298599999999993</v>
      </c>
      <c r="E293" s="77">
        <v>761.96</v>
      </c>
      <c r="F293" s="109">
        <f t="shared" si="69"/>
        <v>107.18252926662817</v>
      </c>
      <c r="G293" s="93">
        <f t="shared" si="70"/>
        <v>136.44559999999998</v>
      </c>
      <c r="H293" s="93">
        <f t="shared" si="71"/>
        <v>160.9674</v>
      </c>
      <c r="I293" s="93">
        <f t="shared" si="72"/>
        <v>160.9674</v>
      </c>
      <c r="J293" s="93">
        <f t="shared" si="73"/>
        <v>160.9674</v>
      </c>
      <c r="K293" s="85">
        <v>160.9674</v>
      </c>
      <c r="L293" s="85" t="s">
        <v>71</v>
      </c>
      <c r="M293" s="85"/>
      <c r="N293" s="79" t="str">
        <f t="shared" si="66"/>
        <v>Nee</v>
      </c>
      <c r="O293" s="79">
        <f t="shared" si="67"/>
        <v>300</v>
      </c>
      <c r="P293" s="115">
        <f t="shared" si="68"/>
        <v>107.18300000000001</v>
      </c>
      <c r="Z293" s="85" t="str">
        <f>""</f>
        <v/>
      </c>
      <c r="AA293" s="85">
        <v>15</v>
      </c>
    </row>
    <row r="294" spans="1:27" ht="15.75" x14ac:dyDescent="0.3">
      <c r="A294" s="85" t="s">
        <v>300</v>
      </c>
      <c r="B294" s="110">
        <v>175.41540000000001</v>
      </c>
      <c r="C294" s="91">
        <v>18.9849</v>
      </c>
      <c r="D294" s="77">
        <v>79.298599999999993</v>
      </c>
      <c r="E294" s="77">
        <v>761.96</v>
      </c>
      <c r="F294" s="109">
        <f t="shared" si="69"/>
        <v>126.14415454879523</v>
      </c>
      <c r="G294" s="93">
        <f t="shared" si="70"/>
        <v>136.44559999999998</v>
      </c>
      <c r="H294" s="93">
        <f t="shared" si="71"/>
        <v>175.41540000000001</v>
      </c>
      <c r="I294" s="93">
        <f t="shared" si="72"/>
        <v>175.41540000000001</v>
      </c>
      <c r="J294" s="93">
        <f t="shared" si="73"/>
        <v>175.41540000000001</v>
      </c>
      <c r="K294" s="85">
        <v>175.41540000000001</v>
      </c>
      <c r="L294" s="85" t="s">
        <v>71</v>
      </c>
      <c r="M294" s="85"/>
      <c r="N294" s="79" t="str">
        <f t="shared" si="66"/>
        <v>Nee</v>
      </c>
      <c r="O294" s="79">
        <f t="shared" si="67"/>
        <v>300</v>
      </c>
      <c r="P294" s="115">
        <f t="shared" si="68"/>
        <v>126.14400000000001</v>
      </c>
      <c r="Z294" s="85" t="str">
        <f>""</f>
        <v/>
      </c>
      <c r="AA294" s="85">
        <v>15</v>
      </c>
    </row>
    <row r="295" spans="1:27" ht="15.75" x14ac:dyDescent="0.3">
      <c r="A295" s="85" t="s">
        <v>301</v>
      </c>
      <c r="B295" s="110">
        <v>135.4273</v>
      </c>
      <c r="C295" s="91">
        <v>18.9849</v>
      </c>
      <c r="D295" s="77">
        <v>79.298599999999993</v>
      </c>
      <c r="E295" s="77">
        <v>777.71</v>
      </c>
      <c r="F295" s="109">
        <f t="shared" si="69"/>
        <v>72.171760682002301</v>
      </c>
      <c r="G295" s="93">
        <f t="shared" si="70"/>
        <v>135.4273</v>
      </c>
      <c r="H295" s="93">
        <f t="shared" si="71"/>
        <v>135.4273</v>
      </c>
      <c r="I295" s="93">
        <f t="shared" si="72"/>
        <v>135.4273</v>
      </c>
      <c r="J295" s="93">
        <f t="shared" si="73"/>
        <v>135.4273</v>
      </c>
      <c r="K295" s="85">
        <v>135.4273</v>
      </c>
      <c r="L295" s="85" t="s">
        <v>71</v>
      </c>
      <c r="M295" s="85"/>
      <c r="N295" s="79" t="str">
        <f t="shared" si="66"/>
        <v>Nee</v>
      </c>
      <c r="O295" s="79">
        <f t="shared" si="67"/>
        <v>300</v>
      </c>
      <c r="P295" s="115">
        <f t="shared" si="68"/>
        <v>72.171999999999997</v>
      </c>
      <c r="Z295" s="85" t="str">
        <f>""</f>
        <v/>
      </c>
      <c r="AA295" s="85">
        <v>15</v>
      </c>
    </row>
    <row r="296" spans="1:27" ht="15.75" x14ac:dyDescent="0.3">
      <c r="A296" s="85" t="s">
        <v>302</v>
      </c>
      <c r="B296" s="110">
        <v>149.86410000000001</v>
      </c>
      <c r="C296" s="91">
        <v>18.9849</v>
      </c>
      <c r="D296" s="77">
        <v>79.298599999999993</v>
      </c>
      <c r="E296" s="77">
        <v>777.71</v>
      </c>
      <c r="F296" s="109">
        <f t="shared" si="69"/>
        <v>90.734978333826248</v>
      </c>
      <c r="G296" s="93">
        <f t="shared" si="70"/>
        <v>137.62684999999999</v>
      </c>
      <c r="H296" s="93">
        <f t="shared" si="71"/>
        <v>149.86410000000001</v>
      </c>
      <c r="I296" s="93">
        <f t="shared" si="72"/>
        <v>149.86410000000001</v>
      </c>
      <c r="J296" s="93">
        <f t="shared" si="73"/>
        <v>149.86410000000001</v>
      </c>
      <c r="K296" s="85">
        <v>149.86410000000001</v>
      </c>
      <c r="L296" s="85" t="s">
        <v>71</v>
      </c>
      <c r="M296" s="85"/>
      <c r="N296" s="79" t="str">
        <f t="shared" si="66"/>
        <v>Nee</v>
      </c>
      <c r="O296" s="79">
        <f t="shared" si="67"/>
        <v>300</v>
      </c>
      <c r="P296" s="115">
        <f t="shared" si="68"/>
        <v>90.734999999999999</v>
      </c>
      <c r="Z296" s="85" t="str">
        <f>""</f>
        <v/>
      </c>
      <c r="AA296" s="85">
        <v>15</v>
      </c>
    </row>
    <row r="297" spans="1:27" ht="15.75" x14ac:dyDescent="0.3">
      <c r="A297" s="85" t="s">
        <v>303</v>
      </c>
      <c r="B297" s="110">
        <v>177.2183</v>
      </c>
      <c r="C297" s="91">
        <v>18.9849</v>
      </c>
      <c r="D297" s="77">
        <v>79.298599999999993</v>
      </c>
      <c r="E297" s="77">
        <v>879.3</v>
      </c>
      <c r="F297" s="109">
        <f t="shared" si="69"/>
        <v>111.36096895257593</v>
      </c>
      <c r="G297" s="93">
        <f t="shared" si="70"/>
        <v>145.24610000000001</v>
      </c>
      <c r="H297" s="93">
        <f t="shared" si="71"/>
        <v>177.2183</v>
      </c>
      <c r="I297" s="93">
        <f t="shared" si="72"/>
        <v>177.2183</v>
      </c>
      <c r="J297" s="93">
        <f t="shared" si="73"/>
        <v>177.2183</v>
      </c>
      <c r="K297" s="85">
        <v>177.2183</v>
      </c>
      <c r="L297" s="85" t="s">
        <v>71</v>
      </c>
      <c r="M297" s="85"/>
      <c r="N297" s="79" t="str">
        <f t="shared" si="66"/>
        <v>Nee</v>
      </c>
      <c r="O297" s="79">
        <f t="shared" si="67"/>
        <v>300</v>
      </c>
      <c r="P297" s="115">
        <f t="shared" si="68"/>
        <v>111.361</v>
      </c>
      <c r="Z297" s="85" t="str">
        <f>""</f>
        <v/>
      </c>
      <c r="AA297" s="85">
        <v>15</v>
      </c>
    </row>
    <row r="298" spans="1:27" ht="15.75" x14ac:dyDescent="0.3">
      <c r="A298" s="85" t="s">
        <v>304</v>
      </c>
      <c r="B298" s="110">
        <v>191.6551</v>
      </c>
      <c r="C298" s="91">
        <v>18.9849</v>
      </c>
      <c r="D298" s="77">
        <v>79.298599999999993</v>
      </c>
      <c r="E298" s="77">
        <v>879.3</v>
      </c>
      <c r="F298" s="109">
        <f t="shared" si="69"/>
        <v>127.77948368020019</v>
      </c>
      <c r="G298" s="93">
        <f t="shared" si="70"/>
        <v>145.24610000000001</v>
      </c>
      <c r="H298" s="93">
        <f t="shared" si="71"/>
        <v>191.6551</v>
      </c>
      <c r="I298" s="93">
        <f t="shared" si="72"/>
        <v>191.6551</v>
      </c>
      <c r="J298" s="93">
        <f t="shared" si="73"/>
        <v>191.6551</v>
      </c>
      <c r="K298" s="85">
        <v>191.6551</v>
      </c>
      <c r="L298" s="85" t="s">
        <v>71</v>
      </c>
      <c r="M298" s="85"/>
      <c r="N298" s="79" t="str">
        <f t="shared" si="66"/>
        <v>Nee</v>
      </c>
      <c r="O298" s="79">
        <f t="shared" si="67"/>
        <v>300</v>
      </c>
      <c r="P298" s="115">
        <f t="shared" si="68"/>
        <v>127.779</v>
      </c>
      <c r="Z298" s="85" t="str">
        <f>""</f>
        <v/>
      </c>
      <c r="AA298" s="85">
        <v>15</v>
      </c>
    </row>
    <row r="299" spans="1:27" x14ac:dyDescent="0.2">
      <c r="A299" s="85" t="s">
        <v>305</v>
      </c>
      <c r="B299" s="110">
        <v>125.10599999999999</v>
      </c>
      <c r="C299" s="91">
        <v>18.9849</v>
      </c>
      <c r="D299" s="77">
        <v>79.298599999999993</v>
      </c>
      <c r="E299" s="77">
        <v>774.05</v>
      </c>
      <c r="F299" s="109">
        <f t="shared" si="69"/>
        <v>59.178864414443517</v>
      </c>
      <c r="G299" s="93">
        <f t="shared" si="70"/>
        <v>125.10599999999999</v>
      </c>
      <c r="H299" s="93">
        <f t="shared" si="71"/>
        <v>125.10599999999999</v>
      </c>
      <c r="I299" s="93">
        <f t="shared" si="72"/>
        <v>125.10599999999999</v>
      </c>
      <c r="J299" s="93">
        <f t="shared" si="73"/>
        <v>125.10599999999999</v>
      </c>
      <c r="K299" s="85">
        <v>125.10599999999999</v>
      </c>
      <c r="L299" s="85" t="s">
        <v>71</v>
      </c>
      <c r="M299" s="85"/>
      <c r="N299" s="79" t="str">
        <f t="shared" si="66"/>
        <v>Nee</v>
      </c>
      <c r="O299" s="79">
        <f t="shared" si="67"/>
        <v>300</v>
      </c>
      <c r="P299" s="115">
        <f t="shared" si="68"/>
        <v>59.179000000000002</v>
      </c>
      <c r="Z299" s="85" t="str">
        <f>""</f>
        <v/>
      </c>
      <c r="AA299" s="85">
        <v>15</v>
      </c>
    </row>
    <row r="300" spans="1:27" x14ac:dyDescent="0.2">
      <c r="A300" s="85"/>
      <c r="B300" s="110"/>
      <c r="C300" s="91"/>
      <c r="D300" s="77"/>
      <c r="E300" s="77"/>
      <c r="F300" s="109"/>
      <c r="G300" s="93"/>
      <c r="H300" s="93"/>
      <c r="I300" s="93"/>
      <c r="J300" s="93"/>
      <c r="K300" s="85"/>
      <c r="L300" s="85"/>
      <c r="M300" s="85"/>
      <c r="N300" s="79"/>
      <c r="O300" s="79"/>
      <c r="P300" s="115"/>
      <c r="Z300" s="85"/>
      <c r="AA300" s="85"/>
    </row>
    <row r="301" spans="1:27" ht="14.25" x14ac:dyDescent="0.2">
      <c r="A301" s="124" t="s">
        <v>306</v>
      </c>
      <c r="B301" s="110"/>
      <c r="C301" s="91"/>
      <c r="D301" s="77"/>
      <c r="E301" s="77"/>
      <c r="F301" s="109"/>
      <c r="G301" s="93"/>
      <c r="H301" s="93"/>
      <c r="I301" s="93"/>
      <c r="J301" s="93"/>
      <c r="K301" s="85"/>
      <c r="L301" s="85"/>
      <c r="M301" s="85"/>
      <c r="N301" s="79"/>
      <c r="O301" s="79"/>
      <c r="P301" s="115"/>
      <c r="Z301" s="85"/>
      <c r="AA301" s="85"/>
    </row>
    <row r="302" spans="1:27" ht="15.75" x14ac:dyDescent="0.3">
      <c r="A302" s="85" t="s">
        <v>307</v>
      </c>
      <c r="B302" s="110">
        <v>124.5605</v>
      </c>
      <c r="C302" s="91">
        <v>18.9849</v>
      </c>
      <c r="D302" s="77">
        <v>79.298599999999993</v>
      </c>
      <c r="E302" s="77">
        <v>831.52499999999998</v>
      </c>
      <c r="F302" s="109">
        <f t="shared" ref="F302:F307" si="74">(B302-D302)*1000/E302</f>
        <v>54.432398304320387</v>
      </c>
      <c r="G302" s="93">
        <f t="shared" ref="G302:G307" si="75">MIN($B302,(75*$E302/1000)+$D302)</f>
        <v>124.5605</v>
      </c>
      <c r="H302" s="93">
        <f t="shared" ref="H302:H307" si="76">MIN($B302,(150*$E302/1000)+$D302)</f>
        <v>124.5605</v>
      </c>
      <c r="I302" s="93">
        <f t="shared" ref="I302:I307" si="77">MIN($B302,(225*$E302/1000)+$D302)</f>
        <v>124.5605</v>
      </c>
      <c r="J302" s="93">
        <f t="shared" ref="J302:J307" si="78">MIN($B302,(300*$E302/1000)+$D302)</f>
        <v>124.5605</v>
      </c>
      <c r="K302" s="85">
        <v>124.5605</v>
      </c>
      <c r="L302" s="85" t="s">
        <v>71</v>
      </c>
      <c r="M302" s="85"/>
      <c r="N302" s="79" t="str">
        <f t="shared" si="66"/>
        <v>Nee</v>
      </c>
      <c r="O302" s="79">
        <f t="shared" si="67"/>
        <v>300</v>
      </c>
      <c r="P302" s="115">
        <f t="shared" si="68"/>
        <v>54.432000000000002</v>
      </c>
      <c r="Z302" s="85" t="str">
        <f>""</f>
        <v/>
      </c>
      <c r="AA302" s="85">
        <v>15</v>
      </c>
    </row>
    <row r="303" spans="1:27" ht="15.75" x14ac:dyDescent="0.3">
      <c r="A303" s="85" t="s">
        <v>308</v>
      </c>
      <c r="B303" s="110">
        <v>118.1829</v>
      </c>
      <c r="C303" s="91">
        <v>18.9849</v>
      </c>
      <c r="D303" s="77">
        <v>79.298599999999993</v>
      </c>
      <c r="E303" s="77">
        <v>832.01499999999999</v>
      </c>
      <c r="F303" s="109">
        <f t="shared" si="74"/>
        <v>46.735094920163711</v>
      </c>
      <c r="G303" s="93">
        <f t="shared" si="75"/>
        <v>118.1829</v>
      </c>
      <c r="H303" s="93">
        <f t="shared" si="76"/>
        <v>118.1829</v>
      </c>
      <c r="I303" s="93">
        <f t="shared" si="77"/>
        <v>118.1829</v>
      </c>
      <c r="J303" s="93">
        <f t="shared" si="78"/>
        <v>118.1829</v>
      </c>
      <c r="K303" s="85">
        <v>118.1829</v>
      </c>
      <c r="L303" s="85" t="s">
        <v>71</v>
      </c>
      <c r="M303" s="85"/>
      <c r="N303" s="79" t="str">
        <f t="shared" si="66"/>
        <v>Nee</v>
      </c>
      <c r="O303" s="79">
        <f t="shared" si="67"/>
        <v>300</v>
      </c>
      <c r="P303" s="115">
        <f t="shared" si="68"/>
        <v>46.734999999999999</v>
      </c>
      <c r="Z303" s="85" t="str">
        <f>""</f>
        <v/>
      </c>
      <c r="AA303" s="85">
        <v>15</v>
      </c>
    </row>
    <row r="304" spans="1:27" ht="15.75" x14ac:dyDescent="0.3">
      <c r="A304" s="85" t="s">
        <v>309</v>
      </c>
      <c r="B304" s="110">
        <v>222.8</v>
      </c>
      <c r="C304" s="91">
        <v>18.9849</v>
      </c>
      <c r="D304" s="77">
        <v>79.298599999999993</v>
      </c>
      <c r="E304" s="77">
        <v>751.69</v>
      </c>
      <c r="F304" s="109">
        <f t="shared" si="74"/>
        <v>190.9050273383975</v>
      </c>
      <c r="G304" s="93">
        <f t="shared" si="75"/>
        <v>135.67535000000001</v>
      </c>
      <c r="H304" s="93">
        <f t="shared" si="76"/>
        <v>192.0521</v>
      </c>
      <c r="I304" s="93">
        <f t="shared" si="77"/>
        <v>222.8</v>
      </c>
      <c r="J304" s="93">
        <f t="shared" si="78"/>
        <v>222.8</v>
      </c>
      <c r="K304" s="85">
        <v>222.8</v>
      </c>
      <c r="L304" s="85" t="s">
        <v>71</v>
      </c>
      <c r="M304" s="85"/>
      <c r="N304" s="79" t="str">
        <f t="shared" si="66"/>
        <v>Nee</v>
      </c>
      <c r="O304" s="79">
        <f t="shared" si="67"/>
        <v>300</v>
      </c>
      <c r="P304" s="115">
        <f t="shared" si="68"/>
        <v>190.905</v>
      </c>
      <c r="Z304" s="85" t="str">
        <f>""</f>
        <v/>
      </c>
      <c r="AA304" s="85">
        <v>15</v>
      </c>
    </row>
    <row r="305" spans="1:27" ht="15.75" x14ac:dyDescent="0.3">
      <c r="A305" s="85" t="s">
        <v>310</v>
      </c>
      <c r="B305" s="110">
        <v>192.53370000000001</v>
      </c>
      <c r="C305" s="91">
        <v>18.9849</v>
      </c>
      <c r="D305" s="77">
        <v>79.298599999999993</v>
      </c>
      <c r="E305" s="77">
        <v>767.44</v>
      </c>
      <c r="F305" s="109">
        <f t="shared" si="74"/>
        <v>147.54912436151361</v>
      </c>
      <c r="G305" s="93">
        <f t="shared" si="75"/>
        <v>136.85660000000001</v>
      </c>
      <c r="H305" s="93">
        <f t="shared" si="76"/>
        <v>192.53370000000001</v>
      </c>
      <c r="I305" s="93">
        <f t="shared" si="77"/>
        <v>192.53370000000001</v>
      </c>
      <c r="J305" s="93">
        <f t="shared" si="78"/>
        <v>192.53370000000001</v>
      </c>
      <c r="K305" s="85">
        <v>192.53370000000001</v>
      </c>
      <c r="L305" s="85" t="s">
        <v>71</v>
      </c>
      <c r="M305" s="85"/>
      <c r="N305" s="79" t="str">
        <f t="shared" si="66"/>
        <v>Nee</v>
      </c>
      <c r="O305" s="79">
        <f t="shared" si="67"/>
        <v>300</v>
      </c>
      <c r="P305" s="115">
        <f t="shared" si="68"/>
        <v>147.54900000000001</v>
      </c>
      <c r="Z305" s="85" t="str">
        <f>""</f>
        <v/>
      </c>
      <c r="AA305" s="85">
        <v>15</v>
      </c>
    </row>
    <row r="306" spans="1:27" ht="15.75" x14ac:dyDescent="0.3">
      <c r="A306" s="85" t="s">
        <v>311</v>
      </c>
      <c r="B306" s="110">
        <v>245.42840000000001</v>
      </c>
      <c r="C306" s="91">
        <v>18.9849</v>
      </c>
      <c r="D306" s="77">
        <v>79.298599999999993</v>
      </c>
      <c r="E306" s="77">
        <v>671.14</v>
      </c>
      <c r="F306" s="109">
        <f t="shared" si="74"/>
        <v>247.533748547248</v>
      </c>
      <c r="G306" s="93">
        <f t="shared" si="75"/>
        <v>129.63409999999999</v>
      </c>
      <c r="H306" s="93">
        <f t="shared" si="76"/>
        <v>179.96960000000001</v>
      </c>
      <c r="I306" s="93">
        <f t="shared" si="77"/>
        <v>230.30509999999998</v>
      </c>
      <c r="J306" s="93">
        <f t="shared" si="78"/>
        <v>245.42840000000001</v>
      </c>
      <c r="K306" s="85">
        <v>245.42840000000001</v>
      </c>
      <c r="L306" s="85" t="s">
        <v>71</v>
      </c>
      <c r="M306" s="85"/>
      <c r="N306" s="79" t="str">
        <f t="shared" si="66"/>
        <v>Nee</v>
      </c>
      <c r="O306" s="79">
        <f t="shared" si="67"/>
        <v>300</v>
      </c>
      <c r="P306" s="115">
        <f t="shared" si="68"/>
        <v>247.53399999999999</v>
      </c>
      <c r="Z306" s="85" t="str">
        <f>""</f>
        <v/>
      </c>
      <c r="AA306" s="85">
        <v>15</v>
      </c>
    </row>
    <row r="307" spans="1:27" x14ac:dyDescent="0.2">
      <c r="A307" s="85" t="s">
        <v>312</v>
      </c>
      <c r="B307" s="110">
        <v>167.6986</v>
      </c>
      <c r="C307" s="91">
        <v>18.9849</v>
      </c>
      <c r="D307" s="77">
        <v>79.298599999999993</v>
      </c>
      <c r="E307" s="77">
        <v>753.9</v>
      </c>
      <c r="F307" s="109">
        <f t="shared" si="74"/>
        <v>117.25693062740417</v>
      </c>
      <c r="G307" s="93">
        <f t="shared" si="75"/>
        <v>135.84109999999998</v>
      </c>
      <c r="H307" s="93">
        <f t="shared" si="76"/>
        <v>167.6986</v>
      </c>
      <c r="I307" s="93">
        <f t="shared" si="77"/>
        <v>167.6986</v>
      </c>
      <c r="J307" s="93">
        <f t="shared" si="78"/>
        <v>167.6986</v>
      </c>
      <c r="K307" s="85">
        <v>167.6986</v>
      </c>
      <c r="L307" s="85" t="s">
        <v>71</v>
      </c>
      <c r="M307" s="85"/>
      <c r="N307" s="79" t="str">
        <f t="shared" si="66"/>
        <v>Nee</v>
      </c>
      <c r="O307" s="79">
        <f t="shared" si="67"/>
        <v>300</v>
      </c>
      <c r="P307" s="115">
        <f t="shared" si="68"/>
        <v>117.25700000000001</v>
      </c>
      <c r="Z307" s="85" t="str">
        <f>""</f>
        <v/>
      </c>
      <c r="AA307" s="85">
        <v>15</v>
      </c>
    </row>
    <row r="308" spans="1:27" x14ac:dyDescent="0.2">
      <c r="A308" s="85"/>
      <c r="B308" s="110"/>
      <c r="C308" s="91"/>
      <c r="D308" s="77"/>
      <c r="E308" s="77"/>
      <c r="F308" s="109"/>
      <c r="G308" s="93"/>
      <c r="H308" s="93"/>
      <c r="I308" s="93"/>
      <c r="J308" s="93"/>
      <c r="K308" s="85"/>
      <c r="L308" s="85"/>
      <c r="M308" s="85"/>
      <c r="N308" s="79"/>
      <c r="O308" s="79"/>
      <c r="P308" s="115"/>
      <c r="Z308" s="85"/>
      <c r="AA308" s="85"/>
    </row>
    <row r="309" spans="1:27" ht="14.25" x14ac:dyDescent="0.2">
      <c r="A309" s="124" t="s">
        <v>313</v>
      </c>
      <c r="B309" s="110"/>
      <c r="C309" s="91"/>
      <c r="D309" s="77"/>
      <c r="E309" s="77"/>
      <c r="F309" s="109"/>
      <c r="G309" s="93"/>
      <c r="H309" s="93"/>
      <c r="I309" s="93"/>
      <c r="J309" s="93"/>
      <c r="K309" s="85"/>
      <c r="L309" s="85"/>
      <c r="M309" s="85"/>
      <c r="N309" s="79"/>
      <c r="O309" s="79"/>
      <c r="P309" s="115"/>
      <c r="Z309" s="85"/>
      <c r="AA309" s="85"/>
    </row>
    <row r="310" spans="1:27" ht="15.75" x14ac:dyDescent="0.3">
      <c r="A310" s="85" t="s">
        <v>314</v>
      </c>
      <c r="B310" s="110">
        <v>307.59860000000003</v>
      </c>
      <c r="C310" s="91">
        <v>18.9849</v>
      </c>
      <c r="D310" s="77">
        <v>79.298599999999993</v>
      </c>
      <c r="E310" s="77">
        <v>761</v>
      </c>
      <c r="F310" s="109">
        <f>(B310-D310)*1000/E310</f>
        <v>300.00000000000006</v>
      </c>
      <c r="G310" s="93">
        <f>MIN($B310,(75*$E310/1000)+$D310)</f>
        <v>136.37360000000001</v>
      </c>
      <c r="H310" s="93">
        <f>MIN($B310,(150*$E310/1000)+$D310)</f>
        <v>193.4486</v>
      </c>
      <c r="I310" s="93">
        <f>MIN($B310,(225*$E310/1000)+$D310)</f>
        <v>250.52359999999999</v>
      </c>
      <c r="J310" s="93">
        <f>MIN($B310,(300*$E310/1000)+$D310)</f>
        <v>307.59860000000003</v>
      </c>
      <c r="K310" s="85">
        <v>307.59860000000003</v>
      </c>
      <c r="L310" s="85" t="s">
        <v>71</v>
      </c>
      <c r="M310" s="85"/>
      <c r="N310" s="79" t="str">
        <f t="shared" si="66"/>
        <v>Nee</v>
      </c>
      <c r="O310" s="79">
        <f t="shared" si="67"/>
        <v>300</v>
      </c>
      <c r="P310" s="115">
        <f t="shared" si="68"/>
        <v>300</v>
      </c>
      <c r="Z310" s="85" t="str">
        <f>""</f>
        <v/>
      </c>
      <c r="AA310" s="85">
        <v>15</v>
      </c>
    </row>
    <row r="311" spans="1:27" x14ac:dyDescent="0.2">
      <c r="A311" s="85"/>
      <c r="B311" s="110"/>
      <c r="C311" s="91"/>
      <c r="D311" s="77"/>
      <c r="E311" s="77"/>
      <c r="F311" s="109"/>
      <c r="G311" s="93"/>
      <c r="H311" s="93"/>
      <c r="I311" s="93"/>
      <c r="J311" s="93"/>
      <c r="K311" s="85"/>
      <c r="L311" s="85"/>
      <c r="M311" s="85"/>
      <c r="N311" s="79"/>
      <c r="O311" s="79"/>
      <c r="P311" s="115"/>
      <c r="Z311" s="85"/>
      <c r="AA311" s="85"/>
    </row>
    <row r="312" spans="1:27" x14ac:dyDescent="0.2">
      <c r="A312" s="88" t="s">
        <v>63</v>
      </c>
      <c r="B312" s="108"/>
      <c r="C312" s="77"/>
      <c r="D312" s="77"/>
      <c r="E312" s="77"/>
      <c r="F312" s="109"/>
      <c r="G312" s="93"/>
      <c r="H312" s="93"/>
      <c r="I312" s="93"/>
      <c r="J312" s="93"/>
      <c r="K312" s="85"/>
      <c r="L312" s="85"/>
      <c r="M312" s="85"/>
      <c r="N312" s="79"/>
      <c r="O312" s="79"/>
      <c r="P312" s="115"/>
      <c r="Z312" s="85"/>
      <c r="AA312" s="85"/>
    </row>
    <row r="313" spans="1:27" x14ac:dyDescent="0.2">
      <c r="A313" s="85" t="s">
        <v>90</v>
      </c>
      <c r="B313" s="108">
        <v>6.0900000000000003E-2</v>
      </c>
      <c r="C313" s="77">
        <v>1.3100000000000001E-2</v>
      </c>
      <c r="D313" s="77">
        <v>5.04E-2</v>
      </c>
      <c r="E313" s="77">
        <v>0.18790000000000001</v>
      </c>
      <c r="F313" s="109">
        <f t="shared" ref="F313:F322" si="79">(B313-D313)*1000/E313</f>
        <v>55.880787653006927</v>
      </c>
      <c r="G313" s="93">
        <f t="shared" ref="G313:G322" si="80">MIN($B313,(75*$E313/1000)+$D313)</f>
        <v>6.0900000000000003E-2</v>
      </c>
      <c r="H313" s="93">
        <f t="shared" ref="H313:H322" si="81">MIN($B313,(150*$E313/1000)+$D313)</f>
        <v>6.0900000000000003E-2</v>
      </c>
      <c r="I313" s="93">
        <f t="shared" ref="I313:I322" si="82">MIN($B313,(225*$E313/1000)+$D313)</f>
        <v>6.0900000000000003E-2</v>
      </c>
      <c r="J313" s="93">
        <f t="shared" ref="J313:J322" si="83">MIN($B313,(300*$E313/1000)+$D313)</f>
        <v>6.0900000000000003E-2</v>
      </c>
      <c r="K313" s="85">
        <v>6.0900000000000003E-2</v>
      </c>
      <c r="L313" s="85" t="s">
        <v>70</v>
      </c>
      <c r="M313" s="85" t="s">
        <v>174</v>
      </c>
      <c r="N313" s="79" t="str">
        <f t="shared" si="66"/>
        <v>Ja</v>
      </c>
      <c r="O313" s="79">
        <f t="shared" si="67"/>
        <v>400</v>
      </c>
      <c r="P313" s="115">
        <f t="shared" si="68"/>
        <v>55.881</v>
      </c>
      <c r="Z313" s="85" t="s">
        <v>315</v>
      </c>
      <c r="AA313" s="85">
        <v>12</v>
      </c>
    </row>
    <row r="314" spans="1:27" x14ac:dyDescent="0.2">
      <c r="A314" s="85" t="s">
        <v>165</v>
      </c>
      <c r="B314" s="108">
        <v>8.3000000000000004E-2</v>
      </c>
      <c r="C314" s="77">
        <v>1.3100000000000001E-2</v>
      </c>
      <c r="D314" s="77">
        <v>5.04E-2</v>
      </c>
      <c r="E314" s="77">
        <v>0.18790000000000001</v>
      </c>
      <c r="F314" s="109">
        <f t="shared" si="79"/>
        <v>173.49654071314529</v>
      </c>
      <c r="G314" s="93">
        <f t="shared" si="80"/>
        <v>6.4492500000000008E-2</v>
      </c>
      <c r="H314" s="93">
        <f t="shared" si="81"/>
        <v>7.8585000000000002E-2</v>
      </c>
      <c r="I314" s="93">
        <f t="shared" si="82"/>
        <v>8.3000000000000004E-2</v>
      </c>
      <c r="J314" s="93">
        <f t="shared" si="83"/>
        <v>8.3000000000000004E-2</v>
      </c>
      <c r="K314" s="85">
        <v>8.3000000000000004E-2</v>
      </c>
      <c r="L314" s="85" t="s">
        <v>70</v>
      </c>
      <c r="M314" s="85" t="s">
        <v>174</v>
      </c>
      <c r="N314" s="79" t="str">
        <f t="shared" si="66"/>
        <v>Ja</v>
      </c>
      <c r="O314" s="79">
        <f t="shared" si="67"/>
        <v>400</v>
      </c>
      <c r="P314" s="115">
        <f t="shared" si="68"/>
        <v>173.49700000000001</v>
      </c>
      <c r="Z314" s="85" t="s">
        <v>315</v>
      </c>
      <c r="AA314" s="85">
        <v>12</v>
      </c>
    </row>
    <row r="315" spans="1:27" x14ac:dyDescent="0.2">
      <c r="A315" s="85" t="s">
        <v>91</v>
      </c>
      <c r="B315" s="108">
        <v>0.12230000000000001</v>
      </c>
      <c r="C315" s="77">
        <v>1.3100000000000001E-2</v>
      </c>
      <c r="D315" s="77">
        <v>5.04E-2</v>
      </c>
      <c r="E315" s="77">
        <v>0.18790000000000001</v>
      </c>
      <c r="F315" s="109">
        <f t="shared" si="79"/>
        <v>382.65034592868545</v>
      </c>
      <c r="G315" s="93">
        <f t="shared" si="80"/>
        <v>6.4492500000000008E-2</v>
      </c>
      <c r="H315" s="93">
        <f t="shared" si="81"/>
        <v>7.8585000000000002E-2</v>
      </c>
      <c r="I315" s="93">
        <f t="shared" si="82"/>
        <v>9.2677499999999996E-2</v>
      </c>
      <c r="J315" s="93">
        <f t="shared" si="83"/>
        <v>0.10677</v>
      </c>
      <c r="K315" s="85">
        <v>0.12230000000000001</v>
      </c>
      <c r="L315" s="85" t="s">
        <v>70</v>
      </c>
      <c r="M315" s="85" t="s">
        <v>174</v>
      </c>
      <c r="N315" s="79" t="str">
        <f t="shared" si="66"/>
        <v>Ja</v>
      </c>
      <c r="O315" s="79">
        <f t="shared" si="67"/>
        <v>400</v>
      </c>
      <c r="P315" s="115">
        <f t="shared" si="68"/>
        <v>382.65</v>
      </c>
      <c r="Z315" s="85" t="s">
        <v>315</v>
      </c>
      <c r="AA315" s="85">
        <v>12</v>
      </c>
    </row>
    <row r="316" spans="1:27" x14ac:dyDescent="0.2">
      <c r="A316" s="85" t="s">
        <v>316</v>
      </c>
      <c r="B316" s="108">
        <v>5.1299999999999998E-2</v>
      </c>
      <c r="C316" s="77">
        <v>1.3100000000000001E-2</v>
      </c>
      <c r="D316" s="77">
        <v>5.04E-2</v>
      </c>
      <c r="E316" s="77">
        <v>0.19900000000000001</v>
      </c>
      <c r="F316" s="109">
        <f t="shared" si="79"/>
        <v>4.522613065326623</v>
      </c>
      <c r="G316" s="93">
        <f t="shared" si="80"/>
        <v>5.1299999999999998E-2</v>
      </c>
      <c r="H316" s="93">
        <f t="shared" si="81"/>
        <v>5.1299999999999998E-2</v>
      </c>
      <c r="I316" s="93">
        <f t="shared" si="82"/>
        <v>5.1299999999999998E-2</v>
      </c>
      <c r="J316" s="93">
        <f t="shared" si="83"/>
        <v>5.1299999999999998E-2</v>
      </c>
      <c r="K316" s="85">
        <v>5.1299999999999998E-2</v>
      </c>
      <c r="L316" s="85" t="s">
        <v>70</v>
      </c>
      <c r="M316" s="85" t="s">
        <v>112</v>
      </c>
      <c r="N316" s="79" t="str">
        <f t="shared" si="66"/>
        <v>Ja</v>
      </c>
      <c r="O316" s="79">
        <f t="shared" si="67"/>
        <v>400</v>
      </c>
      <c r="P316" s="115">
        <f t="shared" si="68"/>
        <v>4.5229999999999997</v>
      </c>
      <c r="Z316" s="85" t="s">
        <v>315</v>
      </c>
      <c r="AA316" s="85">
        <v>12</v>
      </c>
    </row>
    <row r="317" spans="1:27" x14ac:dyDescent="0.2">
      <c r="A317" s="85" t="s">
        <v>317</v>
      </c>
      <c r="B317" s="108">
        <v>7.2099999999999997E-2</v>
      </c>
      <c r="C317" s="77">
        <v>1.3100000000000001E-2</v>
      </c>
      <c r="D317" s="77">
        <v>5.04E-2</v>
      </c>
      <c r="E317" s="77">
        <v>0.19900000000000001</v>
      </c>
      <c r="F317" s="109">
        <f t="shared" si="79"/>
        <v>109.04522613065323</v>
      </c>
      <c r="G317" s="93">
        <f t="shared" si="80"/>
        <v>6.5324999999999994E-2</v>
      </c>
      <c r="H317" s="93">
        <f t="shared" si="81"/>
        <v>7.2099999999999997E-2</v>
      </c>
      <c r="I317" s="93">
        <f t="shared" si="82"/>
        <v>7.2099999999999997E-2</v>
      </c>
      <c r="J317" s="93">
        <f t="shared" si="83"/>
        <v>7.2099999999999997E-2</v>
      </c>
      <c r="K317" s="85">
        <v>7.2099999999999997E-2</v>
      </c>
      <c r="L317" s="85" t="s">
        <v>70</v>
      </c>
      <c r="M317" s="85" t="s">
        <v>112</v>
      </c>
      <c r="N317" s="79" t="str">
        <f t="shared" si="66"/>
        <v>Ja</v>
      </c>
      <c r="O317" s="79">
        <f t="shared" si="67"/>
        <v>400</v>
      </c>
      <c r="P317" s="115">
        <f t="shared" si="68"/>
        <v>109.045</v>
      </c>
      <c r="Z317" s="85" t="s">
        <v>315</v>
      </c>
      <c r="AA317" s="85">
        <v>12</v>
      </c>
    </row>
    <row r="318" spans="1:27" x14ac:dyDescent="0.2">
      <c r="A318" s="85" t="s">
        <v>318</v>
      </c>
      <c r="B318" s="108">
        <v>0.1089</v>
      </c>
      <c r="C318" s="77">
        <v>1.3100000000000001E-2</v>
      </c>
      <c r="D318" s="77">
        <v>5.04E-2</v>
      </c>
      <c r="E318" s="77">
        <v>0.19900000000000001</v>
      </c>
      <c r="F318" s="109">
        <f t="shared" si="79"/>
        <v>293.96984924623115</v>
      </c>
      <c r="G318" s="93">
        <f t="shared" si="80"/>
        <v>6.5324999999999994E-2</v>
      </c>
      <c r="H318" s="93">
        <f t="shared" si="81"/>
        <v>8.0250000000000002E-2</v>
      </c>
      <c r="I318" s="93">
        <f t="shared" si="82"/>
        <v>9.517500000000001E-2</v>
      </c>
      <c r="J318" s="93">
        <f t="shared" si="83"/>
        <v>0.1089</v>
      </c>
      <c r="K318" s="85">
        <v>0.1089</v>
      </c>
      <c r="L318" s="85" t="s">
        <v>70</v>
      </c>
      <c r="M318" s="85" t="s">
        <v>112</v>
      </c>
      <c r="N318" s="79" t="str">
        <f t="shared" si="66"/>
        <v>Ja</v>
      </c>
      <c r="O318" s="79">
        <f t="shared" si="67"/>
        <v>400</v>
      </c>
      <c r="P318" s="115">
        <f t="shared" si="68"/>
        <v>293.97000000000003</v>
      </c>
      <c r="Z318" s="85" t="s">
        <v>315</v>
      </c>
      <c r="AA318" s="85">
        <v>12</v>
      </c>
    </row>
    <row r="319" spans="1:27" x14ac:dyDescent="0.2">
      <c r="A319" s="85" t="s">
        <v>319</v>
      </c>
      <c r="B319" s="108">
        <v>6.7199999999999996E-2</v>
      </c>
      <c r="C319" s="77">
        <v>1.3100000000000001E-2</v>
      </c>
      <c r="D319" s="77">
        <v>5.04E-2</v>
      </c>
      <c r="E319" s="77">
        <v>0.18790000000000001</v>
      </c>
      <c r="F319" s="109">
        <f t="shared" si="79"/>
        <v>89.409260244811051</v>
      </c>
      <c r="G319" s="93">
        <f t="shared" si="80"/>
        <v>6.4492500000000008E-2</v>
      </c>
      <c r="H319" s="93">
        <f t="shared" si="81"/>
        <v>6.7199999999999996E-2</v>
      </c>
      <c r="I319" s="93">
        <f t="shared" si="82"/>
        <v>6.7199999999999996E-2</v>
      </c>
      <c r="J319" s="93">
        <f t="shared" si="83"/>
        <v>6.7199999999999996E-2</v>
      </c>
      <c r="K319" s="85">
        <v>6.7199999999999996E-2</v>
      </c>
      <c r="L319" s="85" t="s">
        <v>70</v>
      </c>
      <c r="M319" s="85" t="s">
        <v>112</v>
      </c>
      <c r="N319" s="79" t="str">
        <f t="shared" si="66"/>
        <v>Ja</v>
      </c>
      <c r="O319" s="79">
        <f t="shared" si="67"/>
        <v>400</v>
      </c>
      <c r="P319" s="115">
        <f t="shared" si="68"/>
        <v>89.409000000000006</v>
      </c>
      <c r="Z319" s="85" t="s">
        <v>315</v>
      </c>
      <c r="AA319" s="85">
        <v>12</v>
      </c>
    </row>
    <row r="320" spans="1:27" x14ac:dyDescent="0.2">
      <c r="A320" s="85" t="s">
        <v>320</v>
      </c>
      <c r="B320" s="108">
        <v>9.3100000000000002E-2</v>
      </c>
      <c r="C320" s="77">
        <v>1.3100000000000001E-2</v>
      </c>
      <c r="D320" s="77">
        <v>5.04E-2</v>
      </c>
      <c r="E320" s="77">
        <v>0.18790000000000001</v>
      </c>
      <c r="F320" s="109">
        <f t="shared" si="79"/>
        <v>227.24853645556146</v>
      </c>
      <c r="G320" s="93">
        <f t="shared" si="80"/>
        <v>6.4492500000000008E-2</v>
      </c>
      <c r="H320" s="93">
        <f t="shared" si="81"/>
        <v>7.8585000000000002E-2</v>
      </c>
      <c r="I320" s="93">
        <f t="shared" si="82"/>
        <v>9.2677499999999996E-2</v>
      </c>
      <c r="J320" s="93">
        <f t="shared" si="83"/>
        <v>9.3100000000000002E-2</v>
      </c>
      <c r="K320" s="85">
        <v>9.3100000000000002E-2</v>
      </c>
      <c r="L320" s="85" t="s">
        <v>70</v>
      </c>
      <c r="M320" s="85" t="s">
        <v>112</v>
      </c>
      <c r="N320" s="79" t="str">
        <f t="shared" si="66"/>
        <v>Ja</v>
      </c>
      <c r="O320" s="79">
        <f t="shared" si="67"/>
        <v>400</v>
      </c>
      <c r="P320" s="115">
        <f t="shared" si="68"/>
        <v>227.249</v>
      </c>
      <c r="Z320" s="85" t="s">
        <v>315</v>
      </c>
      <c r="AA320" s="85">
        <v>12</v>
      </c>
    </row>
    <row r="321" spans="1:27" x14ac:dyDescent="0.2">
      <c r="A321" s="85" t="s">
        <v>321</v>
      </c>
      <c r="B321" s="108">
        <v>0.12559999999999999</v>
      </c>
      <c r="C321" s="77">
        <v>1.3100000000000001E-2</v>
      </c>
      <c r="D321" s="77">
        <v>5.04E-2</v>
      </c>
      <c r="E321" s="77">
        <v>0.18790000000000001</v>
      </c>
      <c r="F321" s="109">
        <f t="shared" si="79"/>
        <v>400.21287919105902</v>
      </c>
      <c r="G321" s="93">
        <f t="shared" si="80"/>
        <v>6.4492500000000008E-2</v>
      </c>
      <c r="H321" s="93">
        <f t="shared" si="81"/>
        <v>7.8585000000000002E-2</v>
      </c>
      <c r="I321" s="93">
        <f t="shared" si="82"/>
        <v>9.2677499999999996E-2</v>
      </c>
      <c r="J321" s="93">
        <f t="shared" si="83"/>
        <v>0.10677</v>
      </c>
      <c r="K321" s="85">
        <v>0.12559999999999999</v>
      </c>
      <c r="L321" s="85" t="s">
        <v>70</v>
      </c>
      <c r="M321" s="85" t="s">
        <v>112</v>
      </c>
      <c r="N321" s="79" t="str">
        <f t="shared" si="66"/>
        <v>Ja</v>
      </c>
      <c r="O321" s="79">
        <f t="shared" si="67"/>
        <v>400</v>
      </c>
      <c r="P321" s="115">
        <f t="shared" si="68"/>
        <v>400.21300000000002</v>
      </c>
      <c r="Z321" s="85" t="s">
        <v>315</v>
      </c>
      <c r="AA321" s="85">
        <v>12</v>
      </c>
    </row>
    <row r="322" spans="1:27" x14ac:dyDescent="0.2">
      <c r="A322" s="85" t="s">
        <v>322</v>
      </c>
      <c r="B322" s="108">
        <v>9.3399999999999997E-2</v>
      </c>
      <c r="C322" s="77">
        <v>1.3100000000000001E-2</v>
      </c>
      <c r="D322" s="77">
        <v>5.04E-2</v>
      </c>
      <c r="E322" s="77">
        <v>0.17299999999999999</v>
      </c>
      <c r="F322" s="109">
        <f t="shared" si="79"/>
        <v>248.5549132947977</v>
      </c>
      <c r="G322" s="93">
        <f t="shared" si="80"/>
        <v>6.3375000000000001E-2</v>
      </c>
      <c r="H322" s="93">
        <f t="shared" si="81"/>
        <v>7.6350000000000001E-2</v>
      </c>
      <c r="I322" s="93">
        <f t="shared" si="82"/>
        <v>8.9324999999999988E-2</v>
      </c>
      <c r="J322" s="93">
        <f t="shared" si="83"/>
        <v>9.3399999999999997E-2</v>
      </c>
      <c r="K322" s="85">
        <v>9.3399999999999997E-2</v>
      </c>
      <c r="L322" s="85" t="s">
        <v>70</v>
      </c>
      <c r="M322" s="85" t="s">
        <v>112</v>
      </c>
      <c r="N322" s="79" t="str">
        <f t="shared" si="66"/>
        <v>Ja</v>
      </c>
      <c r="O322" s="79">
        <f t="shared" si="67"/>
        <v>400</v>
      </c>
      <c r="P322" s="115">
        <f t="shared" si="68"/>
        <v>248.55500000000001</v>
      </c>
      <c r="Z322" s="85" t="s">
        <v>315</v>
      </c>
      <c r="AA322" s="85">
        <v>12</v>
      </c>
    </row>
    <row r="323" spans="1:27" x14ac:dyDescent="0.2">
      <c r="A323" s="85"/>
      <c r="B323" s="108"/>
      <c r="C323" s="77"/>
      <c r="D323" s="77"/>
      <c r="E323" s="77"/>
      <c r="F323" s="109"/>
      <c r="G323" s="93"/>
      <c r="H323" s="93"/>
      <c r="I323" s="93"/>
      <c r="J323" s="93"/>
      <c r="K323" s="85"/>
      <c r="L323" s="85"/>
      <c r="M323" s="85"/>
      <c r="N323" s="79"/>
      <c r="O323" s="79"/>
      <c r="P323" s="115"/>
      <c r="Z323" s="85"/>
      <c r="AA323" s="85"/>
    </row>
    <row r="324" spans="1:27" x14ac:dyDescent="0.2">
      <c r="A324" s="88" t="s">
        <v>21</v>
      </c>
      <c r="B324" s="108"/>
      <c r="C324" s="77"/>
      <c r="D324" s="77"/>
      <c r="E324" s="77"/>
      <c r="F324" s="109"/>
      <c r="G324" s="93"/>
      <c r="H324" s="93"/>
      <c r="I324" s="93"/>
      <c r="J324" s="93"/>
      <c r="K324" s="85"/>
      <c r="L324" s="85"/>
      <c r="M324" s="85"/>
      <c r="N324" s="79"/>
      <c r="O324" s="79"/>
      <c r="P324" s="115"/>
      <c r="Z324" s="85"/>
      <c r="AA324" s="85"/>
    </row>
    <row r="325" spans="1:27" x14ac:dyDescent="0.2">
      <c r="A325" s="85" t="s">
        <v>323</v>
      </c>
      <c r="B325" s="108">
        <v>1.3599999999999999E-2</v>
      </c>
      <c r="C325" s="77">
        <v>1.3100000000000001E-2</v>
      </c>
      <c r="D325" s="77">
        <v>2.8799999999999999E-2</v>
      </c>
      <c r="E325" s="77">
        <v>0.22500000000000001</v>
      </c>
      <c r="F325" s="109">
        <f t="shared" ref="F325:F335" si="84">(B325-D325)*1000/E325</f>
        <v>-67.555555555555557</v>
      </c>
      <c r="G325" s="93">
        <f t="shared" ref="G325:G335" si="85">MIN($B325,(75*$E325/1000)+$D325)</f>
        <v>1.3599999999999999E-2</v>
      </c>
      <c r="H325" s="93">
        <f t="shared" ref="H325:H335" si="86">MIN($B325,(150*$E325/1000)+$D325)</f>
        <v>1.3599999999999999E-2</v>
      </c>
      <c r="I325" s="93">
        <f t="shared" ref="I325:I335" si="87">MIN($B325,(225*$E325/1000)+$D325)</f>
        <v>1.3599999999999999E-2</v>
      </c>
      <c r="J325" s="93">
        <f t="shared" ref="J325:J335" si="88">MIN($B325,(300*$E325/1000)+$D325)</f>
        <v>1.3599999999999999E-2</v>
      </c>
      <c r="K325" s="85">
        <v>1.3599999999999999E-2</v>
      </c>
      <c r="L325" s="85" t="s">
        <v>70</v>
      </c>
      <c r="M325" s="85" t="s">
        <v>174</v>
      </c>
      <c r="N325" s="79" t="str">
        <f t="shared" si="66"/>
        <v>Ja</v>
      </c>
      <c r="O325" s="79">
        <f t="shared" si="67"/>
        <v>400</v>
      </c>
      <c r="P325" s="115">
        <f t="shared" si="68"/>
        <v>-67.555999999999997</v>
      </c>
      <c r="Z325" s="85"/>
      <c r="AA325" s="85">
        <v>15</v>
      </c>
    </row>
    <row r="326" spans="1:27" x14ac:dyDescent="0.2">
      <c r="A326" s="85" t="s">
        <v>166</v>
      </c>
      <c r="B326" s="108">
        <v>2.2599999999999999E-2</v>
      </c>
      <c r="C326" s="77">
        <v>1.3100000000000001E-2</v>
      </c>
      <c r="D326" s="77">
        <v>2.8799999999999999E-2</v>
      </c>
      <c r="E326" s="77">
        <v>0.2248</v>
      </c>
      <c r="F326" s="109">
        <f t="shared" si="84"/>
        <v>-27.580071174377228</v>
      </c>
      <c r="G326" s="93">
        <f t="shared" si="85"/>
        <v>2.2599999999999999E-2</v>
      </c>
      <c r="H326" s="93">
        <f t="shared" si="86"/>
        <v>2.2599999999999999E-2</v>
      </c>
      <c r="I326" s="93">
        <f t="shared" si="87"/>
        <v>2.2599999999999999E-2</v>
      </c>
      <c r="J326" s="93">
        <f t="shared" si="88"/>
        <v>2.2599999999999999E-2</v>
      </c>
      <c r="K326" s="85">
        <v>2.2599999999999999E-2</v>
      </c>
      <c r="L326" s="85" t="s">
        <v>70</v>
      </c>
      <c r="M326" s="85" t="s">
        <v>174</v>
      </c>
      <c r="N326" s="79" t="str">
        <f t="shared" si="66"/>
        <v>Ja</v>
      </c>
      <c r="O326" s="79">
        <f t="shared" si="67"/>
        <v>400</v>
      </c>
      <c r="P326" s="115">
        <f t="shared" si="68"/>
        <v>-27.58</v>
      </c>
      <c r="Z326" s="85"/>
      <c r="AA326" s="85">
        <v>15</v>
      </c>
    </row>
    <row r="327" spans="1:27" x14ac:dyDescent="0.2">
      <c r="A327" s="85" t="s">
        <v>72</v>
      </c>
      <c r="B327" s="108">
        <v>3.1800000000000002E-2</v>
      </c>
      <c r="C327" s="77">
        <v>1.3100000000000001E-2</v>
      </c>
      <c r="D327" s="77">
        <v>2.8799999999999999E-2</v>
      </c>
      <c r="E327" s="77">
        <v>0.22470000000000001</v>
      </c>
      <c r="F327" s="109">
        <f t="shared" si="84"/>
        <v>13.35113484646196</v>
      </c>
      <c r="G327" s="93">
        <f t="shared" si="85"/>
        <v>3.1800000000000002E-2</v>
      </c>
      <c r="H327" s="93">
        <f t="shared" si="86"/>
        <v>3.1800000000000002E-2</v>
      </c>
      <c r="I327" s="93">
        <f t="shared" si="87"/>
        <v>3.1800000000000002E-2</v>
      </c>
      <c r="J327" s="93">
        <f t="shared" si="88"/>
        <v>3.1800000000000002E-2</v>
      </c>
      <c r="K327" s="85">
        <v>3.1800000000000002E-2</v>
      </c>
      <c r="L327" s="85" t="s">
        <v>70</v>
      </c>
      <c r="M327" s="85" t="s">
        <v>174</v>
      </c>
      <c r="N327" s="79" t="str">
        <f t="shared" si="66"/>
        <v>Ja</v>
      </c>
      <c r="O327" s="79">
        <f t="shared" si="67"/>
        <v>400</v>
      </c>
      <c r="P327" s="115">
        <f t="shared" si="68"/>
        <v>13.351000000000001</v>
      </c>
      <c r="Z327" s="85" t="str">
        <f>""</f>
        <v/>
      </c>
      <c r="AA327" s="85">
        <v>15</v>
      </c>
    </row>
    <row r="328" spans="1:27" x14ac:dyDescent="0.2">
      <c r="A328" s="85" t="s">
        <v>73</v>
      </c>
      <c r="B328" s="108">
        <v>4.1099999999999998E-2</v>
      </c>
      <c r="C328" s="77">
        <v>1.3100000000000001E-2</v>
      </c>
      <c r="D328" s="77">
        <v>2.8799999999999999E-2</v>
      </c>
      <c r="E328" s="77">
        <v>0.22450000000000001</v>
      </c>
      <c r="F328" s="109">
        <f t="shared" si="84"/>
        <v>54.788418708240528</v>
      </c>
      <c r="G328" s="93">
        <f t="shared" si="85"/>
        <v>4.1099999999999998E-2</v>
      </c>
      <c r="H328" s="93">
        <f t="shared" si="86"/>
        <v>4.1099999999999998E-2</v>
      </c>
      <c r="I328" s="93">
        <f t="shared" si="87"/>
        <v>4.1099999999999998E-2</v>
      </c>
      <c r="J328" s="93">
        <f t="shared" si="88"/>
        <v>4.1099999999999998E-2</v>
      </c>
      <c r="K328" s="85">
        <v>4.1099999999999998E-2</v>
      </c>
      <c r="L328" s="85" t="s">
        <v>70</v>
      </c>
      <c r="M328" s="85" t="s">
        <v>174</v>
      </c>
      <c r="N328" s="79" t="str">
        <f t="shared" si="66"/>
        <v>Ja</v>
      </c>
      <c r="O328" s="79">
        <f t="shared" si="67"/>
        <v>400</v>
      </c>
      <c r="P328" s="115">
        <f t="shared" si="68"/>
        <v>54.787999999999997</v>
      </c>
      <c r="Z328" s="85" t="str">
        <f>""</f>
        <v/>
      </c>
      <c r="AA328" s="85">
        <v>15</v>
      </c>
    </row>
    <row r="329" spans="1:27" x14ac:dyDescent="0.2">
      <c r="A329" s="85" t="s">
        <v>167</v>
      </c>
      <c r="B329" s="108">
        <v>5.0200000000000002E-2</v>
      </c>
      <c r="C329" s="77">
        <v>1.3100000000000001E-2</v>
      </c>
      <c r="D329" s="77">
        <v>2.8799999999999999E-2</v>
      </c>
      <c r="E329" s="77">
        <v>0.22439999999999999</v>
      </c>
      <c r="F329" s="109">
        <f t="shared" si="84"/>
        <v>95.365418894830668</v>
      </c>
      <c r="G329" s="93">
        <f t="shared" si="85"/>
        <v>4.5629999999999997E-2</v>
      </c>
      <c r="H329" s="93">
        <f t="shared" si="86"/>
        <v>5.0200000000000002E-2</v>
      </c>
      <c r="I329" s="93">
        <f t="shared" si="87"/>
        <v>5.0200000000000002E-2</v>
      </c>
      <c r="J329" s="93">
        <f t="shared" si="88"/>
        <v>5.0200000000000002E-2</v>
      </c>
      <c r="K329" s="85">
        <v>5.0200000000000002E-2</v>
      </c>
      <c r="L329" s="85" t="s">
        <v>70</v>
      </c>
      <c r="M329" s="85" t="s">
        <v>174</v>
      </c>
      <c r="N329" s="79" t="str">
        <f t="shared" si="66"/>
        <v>Ja</v>
      </c>
      <c r="O329" s="79">
        <f t="shared" si="67"/>
        <v>400</v>
      </c>
      <c r="P329" s="115">
        <f t="shared" si="68"/>
        <v>95.364999999999995</v>
      </c>
      <c r="Z329" s="85" t="str">
        <f>""</f>
        <v/>
      </c>
      <c r="AA329" s="85">
        <v>15</v>
      </c>
    </row>
    <row r="330" spans="1:27" x14ac:dyDescent="0.2">
      <c r="A330" s="85" t="s">
        <v>142</v>
      </c>
      <c r="B330" s="108">
        <v>7.3800000000000004E-2</v>
      </c>
      <c r="C330" s="77">
        <v>1.3100000000000001E-2</v>
      </c>
      <c r="D330" s="77">
        <v>2.8799999999999999E-2</v>
      </c>
      <c r="E330" s="77">
        <v>0.18779999999999999</v>
      </c>
      <c r="F330" s="109">
        <f t="shared" si="84"/>
        <v>239.61661341853039</v>
      </c>
      <c r="G330" s="93">
        <f t="shared" si="85"/>
        <v>4.2885E-2</v>
      </c>
      <c r="H330" s="93">
        <f t="shared" si="86"/>
        <v>5.6969999999999993E-2</v>
      </c>
      <c r="I330" s="93">
        <f t="shared" si="87"/>
        <v>7.1054999999999993E-2</v>
      </c>
      <c r="J330" s="93">
        <f t="shared" si="88"/>
        <v>7.3800000000000004E-2</v>
      </c>
      <c r="K330" s="85">
        <v>7.3800000000000004E-2</v>
      </c>
      <c r="L330" s="85" t="s">
        <v>70</v>
      </c>
      <c r="M330" s="85" t="s">
        <v>174</v>
      </c>
      <c r="N330" s="79" t="str">
        <f t="shared" si="66"/>
        <v>Ja</v>
      </c>
      <c r="O330" s="79">
        <f t="shared" si="67"/>
        <v>400</v>
      </c>
      <c r="P330" s="115">
        <f t="shared" si="68"/>
        <v>239.61699999999999</v>
      </c>
      <c r="Z330" s="85" t="s">
        <v>315</v>
      </c>
      <c r="AA330" s="85">
        <v>15</v>
      </c>
    </row>
    <row r="331" spans="1:27" x14ac:dyDescent="0.2">
      <c r="A331" s="85" t="s">
        <v>92</v>
      </c>
      <c r="B331" s="108">
        <v>8.2600000000000007E-2</v>
      </c>
      <c r="C331" s="77">
        <v>1.3100000000000001E-2</v>
      </c>
      <c r="D331" s="77">
        <v>2.8799999999999999E-2</v>
      </c>
      <c r="E331" s="77">
        <v>0.18770000000000001</v>
      </c>
      <c r="F331" s="109">
        <f t="shared" si="84"/>
        <v>286.62759722962176</v>
      </c>
      <c r="G331" s="93">
        <f t="shared" si="85"/>
        <v>4.2877499999999999E-2</v>
      </c>
      <c r="H331" s="93">
        <f t="shared" si="86"/>
        <v>5.6954999999999999E-2</v>
      </c>
      <c r="I331" s="93">
        <f t="shared" si="87"/>
        <v>7.1032499999999998E-2</v>
      </c>
      <c r="J331" s="93">
        <f t="shared" si="88"/>
        <v>8.2600000000000007E-2</v>
      </c>
      <c r="K331" s="85">
        <v>8.2600000000000007E-2</v>
      </c>
      <c r="L331" s="85" t="s">
        <v>70</v>
      </c>
      <c r="M331" s="85" t="s">
        <v>174</v>
      </c>
      <c r="N331" s="79" t="str">
        <f t="shared" si="66"/>
        <v>Ja</v>
      </c>
      <c r="O331" s="79">
        <f t="shared" si="67"/>
        <v>400</v>
      </c>
      <c r="P331" s="115">
        <f t="shared" si="68"/>
        <v>286.62799999999999</v>
      </c>
      <c r="Z331" s="85" t="s">
        <v>315</v>
      </c>
      <c r="AA331" s="85">
        <v>15</v>
      </c>
    </row>
    <row r="332" spans="1:27" x14ac:dyDescent="0.2">
      <c r="A332" s="85" t="s">
        <v>93</v>
      </c>
      <c r="B332" s="108">
        <v>9.1800000000000007E-2</v>
      </c>
      <c r="C332" s="77">
        <v>1.3100000000000001E-2</v>
      </c>
      <c r="D332" s="77">
        <v>2.8799999999999999E-2</v>
      </c>
      <c r="E332" s="77">
        <v>0.1875</v>
      </c>
      <c r="F332" s="109">
        <f t="shared" si="84"/>
        <v>336</v>
      </c>
      <c r="G332" s="93">
        <f t="shared" si="85"/>
        <v>4.2862499999999998E-2</v>
      </c>
      <c r="H332" s="93">
        <f t="shared" si="86"/>
        <v>5.6925000000000003E-2</v>
      </c>
      <c r="I332" s="93">
        <f t="shared" si="87"/>
        <v>7.0987500000000009E-2</v>
      </c>
      <c r="J332" s="93">
        <f t="shared" si="88"/>
        <v>8.5050000000000001E-2</v>
      </c>
      <c r="K332" s="85">
        <v>9.1800000000000007E-2</v>
      </c>
      <c r="L332" s="85" t="s">
        <v>70</v>
      </c>
      <c r="M332" s="85" t="s">
        <v>174</v>
      </c>
      <c r="N332" s="79" t="str">
        <f t="shared" si="66"/>
        <v>Ja</v>
      </c>
      <c r="O332" s="79">
        <f t="shared" si="67"/>
        <v>400</v>
      </c>
      <c r="P332" s="115">
        <f t="shared" si="68"/>
        <v>336</v>
      </c>
      <c r="Z332" s="85" t="s">
        <v>315</v>
      </c>
      <c r="AA332" s="85">
        <v>15</v>
      </c>
    </row>
    <row r="333" spans="1:27" x14ac:dyDescent="0.2">
      <c r="A333" s="85" t="s">
        <v>94</v>
      </c>
      <c r="B333" s="108">
        <v>0.1008</v>
      </c>
      <c r="C333" s="77">
        <v>1.3100000000000001E-2</v>
      </c>
      <c r="D333" s="77">
        <v>2.8799999999999999E-2</v>
      </c>
      <c r="E333" s="77">
        <v>0.18740000000000001</v>
      </c>
      <c r="F333" s="109">
        <f t="shared" si="84"/>
        <v>384.20490928495201</v>
      </c>
      <c r="G333" s="93">
        <f t="shared" si="85"/>
        <v>4.2855000000000004E-2</v>
      </c>
      <c r="H333" s="93">
        <f t="shared" si="86"/>
        <v>5.6910000000000002E-2</v>
      </c>
      <c r="I333" s="93">
        <f t="shared" si="87"/>
        <v>7.0965E-2</v>
      </c>
      <c r="J333" s="93">
        <f t="shared" si="88"/>
        <v>8.5020000000000012E-2</v>
      </c>
      <c r="K333" s="85">
        <v>0.1008</v>
      </c>
      <c r="L333" s="85" t="s">
        <v>70</v>
      </c>
      <c r="M333" s="85" t="s">
        <v>174</v>
      </c>
      <c r="N333" s="79" t="str">
        <f t="shared" si="66"/>
        <v>Ja</v>
      </c>
      <c r="O333" s="79">
        <f t="shared" si="67"/>
        <v>400</v>
      </c>
      <c r="P333" s="115">
        <f t="shared" si="68"/>
        <v>384.20499999999998</v>
      </c>
      <c r="Z333" s="85" t="s">
        <v>315</v>
      </c>
      <c r="AA333" s="85">
        <v>15</v>
      </c>
    </row>
    <row r="334" spans="1:27" x14ac:dyDescent="0.2">
      <c r="A334" s="85" t="s">
        <v>95</v>
      </c>
      <c r="B334" s="108">
        <v>0.1037</v>
      </c>
      <c r="C334" s="77">
        <v>1.3100000000000001E-2</v>
      </c>
      <c r="D334" s="77">
        <v>2.8799999999999999E-2</v>
      </c>
      <c r="E334" s="77">
        <v>0.18720000000000001</v>
      </c>
      <c r="F334" s="109">
        <f t="shared" si="84"/>
        <v>400.10683760683753</v>
      </c>
      <c r="G334" s="93">
        <f t="shared" si="85"/>
        <v>4.2840000000000003E-2</v>
      </c>
      <c r="H334" s="93">
        <f t="shared" si="86"/>
        <v>5.688E-2</v>
      </c>
      <c r="I334" s="93">
        <f t="shared" si="87"/>
        <v>7.0920000000000011E-2</v>
      </c>
      <c r="J334" s="93">
        <f t="shared" si="88"/>
        <v>8.4960000000000008E-2</v>
      </c>
      <c r="K334" s="85">
        <v>0.1037</v>
      </c>
      <c r="L334" s="85" t="s">
        <v>70</v>
      </c>
      <c r="M334" s="85" t="s">
        <v>174</v>
      </c>
      <c r="N334" s="79" t="str">
        <f t="shared" si="66"/>
        <v>Ja</v>
      </c>
      <c r="O334" s="79">
        <f t="shared" si="67"/>
        <v>400</v>
      </c>
      <c r="P334" s="115">
        <f t="shared" si="68"/>
        <v>400.10700000000003</v>
      </c>
      <c r="Z334" s="85" t="s">
        <v>315</v>
      </c>
      <c r="AA334" s="85">
        <v>15</v>
      </c>
    </row>
    <row r="335" spans="1:27" x14ac:dyDescent="0.2">
      <c r="A335" s="85" t="s">
        <v>383</v>
      </c>
      <c r="B335" s="108">
        <v>9.9199999999999997E-2</v>
      </c>
      <c r="C335" s="77">
        <v>1.3100000000000001E-2</v>
      </c>
      <c r="D335" s="77">
        <v>2.8799999999999999E-2</v>
      </c>
      <c r="E335" s="77">
        <v>0.1777</v>
      </c>
      <c r="F335" s="109">
        <f t="shared" si="84"/>
        <v>396.1733258300506</v>
      </c>
      <c r="G335" s="93">
        <f t="shared" si="85"/>
        <v>4.2127499999999998E-2</v>
      </c>
      <c r="H335" s="93">
        <f t="shared" si="86"/>
        <v>5.5455000000000004E-2</v>
      </c>
      <c r="I335" s="93">
        <f t="shared" si="87"/>
        <v>6.8782499999999996E-2</v>
      </c>
      <c r="J335" s="93">
        <f t="shared" si="88"/>
        <v>8.2110000000000002E-2</v>
      </c>
      <c r="K335" s="85">
        <v>1.1036999999999999</v>
      </c>
      <c r="L335" s="85" t="s">
        <v>70</v>
      </c>
      <c r="M335" s="85" t="s">
        <v>174</v>
      </c>
      <c r="N335" s="79" t="str">
        <f t="shared" si="66"/>
        <v>Ja</v>
      </c>
      <c r="O335" s="79">
        <f t="shared" si="67"/>
        <v>400</v>
      </c>
      <c r="P335" s="115">
        <f t="shared" si="68"/>
        <v>396.173</v>
      </c>
      <c r="Z335" s="85"/>
      <c r="AA335" s="85"/>
    </row>
    <row r="336" spans="1:27" x14ac:dyDescent="0.2">
      <c r="A336" s="85"/>
      <c r="B336" s="108"/>
      <c r="C336" s="77"/>
      <c r="D336" s="77"/>
      <c r="E336" s="77"/>
      <c r="F336" s="109"/>
      <c r="G336" s="93"/>
      <c r="H336" s="93"/>
      <c r="I336" s="93"/>
      <c r="J336" s="93"/>
      <c r="K336" s="85"/>
      <c r="L336" s="85"/>
      <c r="M336" s="85"/>
      <c r="N336" s="79"/>
      <c r="O336" s="79"/>
      <c r="P336" s="115"/>
      <c r="Z336" s="85"/>
      <c r="AA336" s="85"/>
    </row>
    <row r="337" spans="1:27" x14ac:dyDescent="0.2">
      <c r="A337" s="88" t="s">
        <v>22</v>
      </c>
      <c r="B337" s="108"/>
      <c r="C337" s="77"/>
      <c r="D337" s="77"/>
      <c r="E337" s="77"/>
      <c r="F337" s="109"/>
      <c r="G337" s="93"/>
      <c r="H337" s="93"/>
      <c r="I337" s="93"/>
      <c r="J337" s="93"/>
      <c r="K337" s="85"/>
      <c r="L337" s="85"/>
      <c r="M337" s="85"/>
      <c r="N337" s="79"/>
      <c r="O337" s="79"/>
      <c r="P337" s="115"/>
      <c r="Z337" s="85"/>
      <c r="AA337" s="85"/>
    </row>
    <row r="338" spans="1:27" x14ac:dyDescent="0.2">
      <c r="A338" s="85" t="s">
        <v>168</v>
      </c>
      <c r="B338" s="108">
        <v>6.9900000000000004E-2</v>
      </c>
      <c r="C338" s="77">
        <v>1.6799999999999999E-2</v>
      </c>
      <c r="D338" s="77">
        <v>4.0599999999999997E-2</v>
      </c>
      <c r="E338" s="77">
        <v>0.22500000000000001</v>
      </c>
      <c r="F338" s="109">
        <f t="shared" ref="F338:F345" si="89">(B338-D338)*1000/E338</f>
        <v>130.22222222222226</v>
      </c>
      <c r="G338" s="93">
        <f t="shared" ref="G338:G345" si="90">MIN($B338,(75*$E338/1000)+$D338)</f>
        <v>5.7474999999999998E-2</v>
      </c>
      <c r="H338" s="93">
        <f t="shared" ref="H338:H345" si="91">MIN($B338,(150*$E338/1000)+$D338)</f>
        <v>6.9900000000000004E-2</v>
      </c>
      <c r="I338" s="93">
        <f t="shared" ref="I338:I345" si="92">MIN($B338,(225*$E338/1000)+$D338)</f>
        <v>6.9900000000000004E-2</v>
      </c>
      <c r="J338" s="93">
        <f t="shared" ref="J338:J345" si="93">MIN($B338,(300*$E338/1000)+$D338)</f>
        <v>6.9900000000000004E-2</v>
      </c>
      <c r="K338" s="85">
        <v>6.9900000000000004E-2</v>
      </c>
      <c r="L338" s="85" t="s">
        <v>70</v>
      </c>
      <c r="M338" s="85" t="s">
        <v>112</v>
      </c>
      <c r="N338" s="79" t="str">
        <f t="shared" si="66"/>
        <v>Ja</v>
      </c>
      <c r="O338" s="79">
        <f t="shared" si="67"/>
        <v>400</v>
      </c>
      <c r="P338" s="115">
        <f t="shared" si="68"/>
        <v>130.22200000000001</v>
      </c>
      <c r="Z338" s="103" t="str">
        <f>"Voor deze categorie geldt naast een maximum aantal van  "&amp;K338&amp;" subsidiabele vollasturen per jaar een beperking in toegestane productie-uren (bedrijfsuren) per jaar t/m het jaar 2028!"</f>
        <v>Voor deze categorie geldt naast een maximum aantal van  0,0699 subsidiabele vollasturen per jaar een beperking in toegestane productie-uren (bedrijfsuren) per jaar t/m het jaar 2028!</v>
      </c>
      <c r="AA338" s="85">
        <v>15</v>
      </c>
    </row>
    <row r="339" spans="1:27" x14ac:dyDescent="0.2">
      <c r="A339" s="85" t="s">
        <v>169</v>
      </c>
      <c r="B339" s="108">
        <v>6.9900000000000004E-2</v>
      </c>
      <c r="C339" s="77">
        <v>1.6799999999999999E-2</v>
      </c>
      <c r="D339" s="77">
        <v>5.6000000000000001E-2</v>
      </c>
      <c r="E339" s="77">
        <v>0.22500000000000001</v>
      </c>
      <c r="F339" s="109">
        <f t="shared" si="89"/>
        <v>61.777777777777786</v>
      </c>
      <c r="G339" s="93">
        <f t="shared" si="90"/>
        <v>6.9900000000000004E-2</v>
      </c>
      <c r="H339" s="93">
        <f t="shared" si="91"/>
        <v>6.9900000000000004E-2</v>
      </c>
      <c r="I339" s="93">
        <f t="shared" si="92"/>
        <v>6.9900000000000004E-2</v>
      </c>
      <c r="J339" s="93">
        <f t="shared" si="93"/>
        <v>6.9900000000000004E-2</v>
      </c>
      <c r="K339" s="85">
        <v>6.9900000000000004E-2</v>
      </c>
      <c r="L339" s="85" t="s">
        <v>70</v>
      </c>
      <c r="M339" s="85" t="s">
        <v>112</v>
      </c>
      <c r="N339" s="79" t="str">
        <f t="shared" si="66"/>
        <v>Ja</v>
      </c>
      <c r="O339" s="79">
        <f t="shared" si="67"/>
        <v>400</v>
      </c>
      <c r="P339" s="115">
        <f t="shared" si="68"/>
        <v>61.777999999999999</v>
      </c>
      <c r="Z339" s="103" t="str">
        <f>"Voor deze categorie geldt naast een maximum aantal van  "&amp;K339&amp;" subsidiabele vollasturen per jaar een beperking in toegestane productie-uren (bedrijfsuren) per jaar t/m het jaar 2028!"</f>
        <v>Voor deze categorie geldt naast een maximum aantal van  0,0699 subsidiabele vollasturen per jaar een beperking in toegestane productie-uren (bedrijfsuren) per jaar t/m het jaar 2028!</v>
      </c>
      <c r="AA339" s="85">
        <v>15</v>
      </c>
    </row>
    <row r="340" spans="1:27" x14ac:dyDescent="0.2">
      <c r="A340" s="85" t="s">
        <v>170</v>
      </c>
      <c r="B340" s="108">
        <v>0.1086</v>
      </c>
      <c r="C340" s="77">
        <v>1.6799999999999999E-2</v>
      </c>
      <c r="D340" s="77">
        <v>5.6000000000000001E-2</v>
      </c>
      <c r="E340" s="77">
        <v>0.22500000000000001</v>
      </c>
      <c r="F340" s="109">
        <f t="shared" si="89"/>
        <v>233.77777777777777</v>
      </c>
      <c r="G340" s="93">
        <f t="shared" si="90"/>
        <v>7.2874999999999995E-2</v>
      </c>
      <c r="H340" s="93">
        <f t="shared" si="91"/>
        <v>8.9749999999999996E-2</v>
      </c>
      <c r="I340" s="93">
        <f t="shared" si="92"/>
        <v>0.106625</v>
      </c>
      <c r="J340" s="93">
        <f t="shared" si="93"/>
        <v>0.1086</v>
      </c>
      <c r="K340" s="85">
        <v>6.6100000000000006E-2</v>
      </c>
      <c r="L340" s="85" t="s">
        <v>70</v>
      </c>
      <c r="M340" s="85" t="s">
        <v>112</v>
      </c>
      <c r="N340" s="79" t="str">
        <f t="shared" si="66"/>
        <v>Ja</v>
      </c>
      <c r="O340" s="79">
        <f t="shared" si="67"/>
        <v>400</v>
      </c>
      <c r="P340" s="115">
        <f t="shared" si="68"/>
        <v>233.77799999999999</v>
      </c>
      <c r="Z340" s="103"/>
      <c r="AA340" s="85">
        <v>15</v>
      </c>
    </row>
    <row r="341" spans="1:27" x14ac:dyDescent="0.2">
      <c r="A341" s="85" t="s">
        <v>171</v>
      </c>
      <c r="B341" s="108">
        <v>6.6100000000000006E-2</v>
      </c>
      <c r="C341" s="77">
        <v>1.6799999999999999E-2</v>
      </c>
      <c r="D341" s="77">
        <v>4.0599999999999997E-2</v>
      </c>
      <c r="E341" s="77">
        <v>0.22500000000000001</v>
      </c>
      <c r="F341" s="109">
        <f t="shared" si="89"/>
        <v>113.33333333333336</v>
      </c>
      <c r="G341" s="93">
        <f t="shared" si="90"/>
        <v>5.7474999999999998E-2</v>
      </c>
      <c r="H341" s="93">
        <f t="shared" si="91"/>
        <v>6.6100000000000006E-2</v>
      </c>
      <c r="I341" s="93">
        <f t="shared" si="92"/>
        <v>6.6100000000000006E-2</v>
      </c>
      <c r="J341" s="93">
        <f t="shared" si="93"/>
        <v>6.6100000000000006E-2</v>
      </c>
      <c r="K341" s="85">
        <v>6.6100000000000006E-2</v>
      </c>
      <c r="L341" s="85" t="s">
        <v>70</v>
      </c>
      <c r="M341" s="85" t="s">
        <v>112</v>
      </c>
      <c r="N341" s="79" t="str">
        <f t="shared" si="66"/>
        <v>Ja</v>
      </c>
      <c r="O341" s="79">
        <f t="shared" si="67"/>
        <v>400</v>
      </c>
      <c r="P341" s="115">
        <f t="shared" si="68"/>
        <v>113.333</v>
      </c>
      <c r="Z341" s="103" t="str">
        <f>"Voor deze categorie geldt naast een maximum aantal van  "&amp;K341&amp;" subsidiabele vollasturen per jaar een beperking in toegestane productie-uren (bedrijfsuren) per jaar t/m het jaar 2028!"</f>
        <v>Voor deze categorie geldt naast een maximum aantal van  0,0661 subsidiabele vollasturen per jaar een beperking in toegestane productie-uren (bedrijfsuren) per jaar t/m het jaar 2028!</v>
      </c>
      <c r="AA341" s="85">
        <v>5</v>
      </c>
    </row>
    <row r="342" spans="1:27" x14ac:dyDescent="0.2">
      <c r="A342" s="85" t="s">
        <v>172</v>
      </c>
      <c r="B342" s="108">
        <v>6.6100000000000006E-2</v>
      </c>
      <c r="C342" s="77">
        <v>1.6799999999999999E-2</v>
      </c>
      <c r="D342" s="77">
        <v>5.6000000000000001E-2</v>
      </c>
      <c r="E342" s="77">
        <v>0.22500000000000001</v>
      </c>
      <c r="F342" s="109">
        <f t="shared" si="89"/>
        <v>44.888888888888907</v>
      </c>
      <c r="G342" s="93">
        <f t="shared" si="90"/>
        <v>6.6100000000000006E-2</v>
      </c>
      <c r="H342" s="93">
        <f t="shared" si="91"/>
        <v>6.6100000000000006E-2</v>
      </c>
      <c r="I342" s="93">
        <f t="shared" si="92"/>
        <v>6.6100000000000006E-2</v>
      </c>
      <c r="J342" s="93">
        <f t="shared" si="93"/>
        <v>6.6100000000000006E-2</v>
      </c>
      <c r="K342" s="85">
        <v>0.1086</v>
      </c>
      <c r="L342" s="85" t="s">
        <v>70</v>
      </c>
      <c r="M342" s="85" t="s">
        <v>112</v>
      </c>
      <c r="N342" s="79" t="str">
        <f t="shared" si="66"/>
        <v>Ja</v>
      </c>
      <c r="O342" s="79">
        <f t="shared" si="67"/>
        <v>400</v>
      </c>
      <c r="P342" s="115">
        <f t="shared" si="68"/>
        <v>44.889000000000003</v>
      </c>
      <c r="Z342" s="103" t="str">
        <f>"Voor deze categorie geldt naast een maximum aantal van  "&amp;K342&amp;" subsidiabele vollasturen per jaar een beperking in toegestane productie-uren (bedrijfsuren) per jaar t/m het jaar 2028!"</f>
        <v>Voor deze categorie geldt naast een maximum aantal van  0,1086 subsidiabele vollasturen per jaar een beperking in toegestane productie-uren (bedrijfsuren) per jaar t/m het jaar 2028!</v>
      </c>
      <c r="AA342" s="85">
        <v>5</v>
      </c>
    </row>
    <row r="343" spans="1:27" x14ac:dyDescent="0.2">
      <c r="A343" s="85" t="s">
        <v>143</v>
      </c>
      <c r="B343" s="108">
        <v>0.16139999999999999</v>
      </c>
      <c r="C343" s="77">
        <v>2.8299999999999999E-2</v>
      </c>
      <c r="D343" s="77">
        <v>7.0199999999999999E-2</v>
      </c>
      <c r="E343" s="77">
        <v>0.22800000000000001</v>
      </c>
      <c r="F343" s="109">
        <f t="shared" si="89"/>
        <v>399.99999999999994</v>
      </c>
      <c r="G343" s="93">
        <f t="shared" si="90"/>
        <v>8.7300000000000003E-2</v>
      </c>
      <c r="H343" s="93">
        <f t="shared" si="91"/>
        <v>0.10439999999999999</v>
      </c>
      <c r="I343" s="93">
        <f t="shared" si="92"/>
        <v>0.1215</v>
      </c>
      <c r="J343" s="93">
        <f t="shared" si="93"/>
        <v>0.1386</v>
      </c>
      <c r="K343" s="85">
        <v>0.16139999999999999</v>
      </c>
      <c r="L343" s="85" t="s">
        <v>70</v>
      </c>
      <c r="M343" s="85" t="s">
        <v>114</v>
      </c>
      <c r="N343" s="79" t="str">
        <f t="shared" si="66"/>
        <v>Ja</v>
      </c>
      <c r="O343" s="79">
        <f t="shared" si="67"/>
        <v>400</v>
      </c>
      <c r="P343" s="115">
        <f t="shared" si="68"/>
        <v>400</v>
      </c>
      <c r="Z343" s="85" t="str">
        <f>"Voor deze categorie geldt dat alleen subsidie wordt verstrekt voor productie van volledig hernieuwbare waterstof en dat ingeval ook niet volledig hernieuwbare waterstof wordt geproduceerd de totale broeikasgasemissiereductie tenminste 70% bedraagt!"</f>
        <v>Voor deze categorie geldt dat alleen subsidie wordt verstrekt voor productie van volledig hernieuwbare waterstof en dat ingeval ook niet volledig hernieuwbare waterstof wordt geproduceerd de totale broeikasgasemissiereductie tenminste 70% bedraagt!</v>
      </c>
      <c r="AA343" s="85">
        <v>15</v>
      </c>
    </row>
    <row r="344" spans="1:27" x14ac:dyDescent="0.2">
      <c r="A344" s="85" t="s">
        <v>144</v>
      </c>
      <c r="B344" s="108">
        <v>0.16139999999999999</v>
      </c>
      <c r="C344" s="77">
        <v>2.8299999999999999E-2</v>
      </c>
      <c r="D344" s="77">
        <v>7.0199999999999999E-2</v>
      </c>
      <c r="E344" s="77">
        <v>0.22800000000000001</v>
      </c>
      <c r="F344" s="109">
        <f t="shared" si="89"/>
        <v>399.99999999999994</v>
      </c>
      <c r="G344" s="93">
        <f t="shared" si="90"/>
        <v>8.7300000000000003E-2</v>
      </c>
      <c r="H344" s="93">
        <f t="shared" si="91"/>
        <v>0.10439999999999999</v>
      </c>
      <c r="I344" s="93">
        <f t="shared" si="92"/>
        <v>0.1215</v>
      </c>
      <c r="J344" s="93">
        <f t="shared" si="93"/>
        <v>0.1386</v>
      </c>
      <c r="K344" s="85">
        <v>0.16139999999999999</v>
      </c>
      <c r="L344" s="85" t="s">
        <v>70</v>
      </c>
      <c r="M344" s="85" t="s">
        <v>114</v>
      </c>
      <c r="N344" s="79" t="str">
        <f t="shared" si="66"/>
        <v>Ja</v>
      </c>
      <c r="O344" s="79">
        <f t="shared" si="67"/>
        <v>400</v>
      </c>
      <c r="P344" s="115">
        <f t="shared" si="68"/>
        <v>400</v>
      </c>
      <c r="Z344" s="85"/>
      <c r="AA344" s="85">
        <v>15</v>
      </c>
    </row>
    <row r="345" spans="1:27" x14ac:dyDescent="0.2">
      <c r="A345" s="85" t="s">
        <v>173</v>
      </c>
      <c r="B345" s="108">
        <v>7.1900000000000006E-2</v>
      </c>
      <c r="C345" s="77">
        <v>2.8299999999999999E-2</v>
      </c>
      <c r="D345" s="77">
        <v>5.8900000000000001E-2</v>
      </c>
      <c r="E345" s="77">
        <v>0.12770000000000001</v>
      </c>
      <c r="F345" s="109">
        <f t="shared" si="89"/>
        <v>101.80109631949887</v>
      </c>
      <c r="G345" s="93">
        <f t="shared" si="90"/>
        <v>6.8477499999999997E-2</v>
      </c>
      <c r="H345" s="93">
        <f t="shared" si="91"/>
        <v>7.1900000000000006E-2</v>
      </c>
      <c r="I345" s="93">
        <f t="shared" si="92"/>
        <v>7.1900000000000006E-2</v>
      </c>
      <c r="J345" s="93">
        <f t="shared" si="93"/>
        <v>7.1900000000000006E-2</v>
      </c>
      <c r="K345" s="85">
        <v>7.1900000000000006E-2</v>
      </c>
      <c r="L345" s="85" t="s">
        <v>70</v>
      </c>
      <c r="M345" s="85" t="s">
        <v>114</v>
      </c>
      <c r="N345" s="79" t="str">
        <f t="shared" si="66"/>
        <v>Ja</v>
      </c>
      <c r="O345" s="79">
        <f t="shared" si="67"/>
        <v>400</v>
      </c>
      <c r="P345" s="115">
        <f t="shared" si="68"/>
        <v>101.801</v>
      </c>
      <c r="Z345" s="85"/>
      <c r="AA345" s="85">
        <v>15</v>
      </c>
    </row>
    <row r="346" spans="1:27" x14ac:dyDescent="0.2">
      <c r="A346" s="85"/>
      <c r="B346" s="108"/>
      <c r="C346" s="77"/>
      <c r="D346" s="77"/>
      <c r="E346" s="77"/>
      <c r="F346" s="109"/>
      <c r="G346" s="93"/>
      <c r="H346" s="93"/>
      <c r="I346" s="93"/>
      <c r="J346" s="93"/>
      <c r="K346" s="85"/>
      <c r="L346" s="85"/>
      <c r="M346" s="85"/>
      <c r="N346" s="79"/>
      <c r="O346" s="79"/>
      <c r="P346" s="115"/>
      <c r="Z346" s="85"/>
      <c r="AA346" s="85"/>
    </row>
    <row r="347" spans="1:27" x14ac:dyDescent="0.2">
      <c r="A347" s="88" t="s">
        <v>74</v>
      </c>
      <c r="B347" s="85"/>
      <c r="C347" s="77"/>
      <c r="D347" s="77"/>
      <c r="E347" s="77"/>
      <c r="F347" s="109"/>
      <c r="G347" s="93"/>
      <c r="H347" s="93"/>
      <c r="I347" s="93"/>
      <c r="J347" s="93"/>
      <c r="K347" s="85"/>
      <c r="L347" s="85"/>
      <c r="M347" s="85"/>
      <c r="N347" s="79"/>
      <c r="O347" s="79"/>
      <c r="P347" s="115"/>
      <c r="Z347" s="85"/>
      <c r="AA347" s="85"/>
    </row>
    <row r="348" spans="1:27" x14ac:dyDescent="0.2">
      <c r="A348" s="85" t="s">
        <v>96</v>
      </c>
      <c r="B348" s="108">
        <v>0.18609999999999999</v>
      </c>
      <c r="C348" s="77">
        <v>6.1400000000000003E-2</v>
      </c>
      <c r="D348" s="77">
        <v>0.1754</v>
      </c>
      <c r="E348" s="77">
        <v>0.247</v>
      </c>
      <c r="F348" s="109">
        <f>(B348-D348)*1000/E348</f>
        <v>43.319838056680112</v>
      </c>
      <c r="G348" s="93">
        <f>MIN($B348,(75*$E348/1000)+$D348)</f>
        <v>0.18609999999999999</v>
      </c>
      <c r="H348" s="93">
        <f>MIN($B348,(150*$E348/1000)+$D348)</f>
        <v>0.18609999999999999</v>
      </c>
      <c r="I348" s="93">
        <f>MIN($B348,(225*$E348/1000)+$D348)</f>
        <v>0.18609999999999999</v>
      </c>
      <c r="J348" s="93">
        <f>MIN($B348,(300*$E348/1000)+$D348)</f>
        <v>0.18609999999999999</v>
      </c>
      <c r="K348" s="85">
        <v>0.18609999999999999</v>
      </c>
      <c r="L348" s="85" t="s">
        <v>70</v>
      </c>
      <c r="M348" s="85" t="s">
        <v>114</v>
      </c>
      <c r="N348" s="79" t="str">
        <f t="shared" si="66"/>
        <v>Ja</v>
      </c>
      <c r="O348" s="79">
        <f t="shared" si="67"/>
        <v>400</v>
      </c>
      <c r="P348" s="115">
        <f t="shared" si="68"/>
        <v>43.32</v>
      </c>
      <c r="Z348" s="85" t="str">
        <f>""</f>
        <v/>
      </c>
      <c r="AA348" s="85">
        <v>15</v>
      </c>
    </row>
    <row r="349" spans="1:27" ht="15" customHeight="1" x14ac:dyDescent="0.2">
      <c r="A349" s="85" t="s">
        <v>75</v>
      </c>
      <c r="B349" s="108">
        <v>0.14080000000000001</v>
      </c>
      <c r="C349" s="77">
        <v>2.1899999999999999E-2</v>
      </c>
      <c r="D349" s="77">
        <v>0.11449999999999999</v>
      </c>
      <c r="E349" s="77">
        <v>0.23830000000000001</v>
      </c>
      <c r="F349" s="109">
        <f>(B349-D349)*1000/E349</f>
        <v>110.36508602601769</v>
      </c>
      <c r="G349" s="93">
        <f>MIN($B349,(75*$E349/1000)+$D349)</f>
        <v>0.1323725</v>
      </c>
      <c r="H349" s="93">
        <f>MIN($B349,(150*$E349/1000)+$D349)</f>
        <v>0.14080000000000001</v>
      </c>
      <c r="I349" s="93">
        <f>MIN($B349,(225*$E349/1000)+$D349)</f>
        <v>0.14080000000000001</v>
      </c>
      <c r="J349" s="93">
        <f>MIN($B349,(300*$E349/1000)+$D349)</f>
        <v>0.14080000000000001</v>
      </c>
      <c r="K349" s="85">
        <v>0.14080000000000001</v>
      </c>
      <c r="L349" s="85" t="s">
        <v>70</v>
      </c>
      <c r="M349" s="85" t="s">
        <v>114</v>
      </c>
      <c r="N349" s="79" t="str">
        <f>IF(M349="","Nee","Ja")</f>
        <v>Ja</v>
      </c>
      <c r="O349" s="79">
        <f>IF(N349="Nee",300,400)</f>
        <v>400</v>
      </c>
      <c r="P349" s="115">
        <f>ROUND(((B349-D349)*1000/E349),3)</f>
        <v>110.36499999999999</v>
      </c>
      <c r="Z349" s="85" t="str">
        <f>""</f>
        <v/>
      </c>
      <c r="AA349" s="85">
        <v>12</v>
      </c>
    </row>
    <row r="350" spans="1:27" x14ac:dyDescent="0.2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79"/>
      <c r="O350" s="79"/>
      <c r="P350" s="85"/>
      <c r="Z350" s="85"/>
      <c r="AA350" s="85"/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Uw aanvraag</vt:lpstr>
      <vt:lpstr>Alle categorieën niet oplopend</vt:lpstr>
      <vt:lpstr>Alle categorieën</vt:lpstr>
      <vt:lpstr>Hulpblad</vt:lpstr>
      <vt:lpstr>'Uw aanvraag'!Afdrukbereik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Rekentool rangschikkingsbedrag SDE++ 2026_v2</dc:title>
  <dc:creator>RVO</dc:creator>
  <cp:lastModifiedBy>Rijksdienst voor Ondernemend Nederland</cp:lastModifiedBy>
  <cp:lastPrinted>2018-01-19T11:10:07Z</cp:lastPrinted>
  <dcterms:created xsi:type="dcterms:W3CDTF">2007-06-28T07:20:54Z</dcterms:created>
  <dcterms:modified xsi:type="dcterms:W3CDTF">2026-08-18T12:01:59Z</dcterms:modified>
</cp:coreProperties>
</file>